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pivotTables/pivotTable1.xml" ContentType="application/vnd.openxmlformats-officedocument.spreadsheetml.pivotTable+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9"/>
  <workbookPr codeName="ThisWorkbook" hidePivotFieldList="1" defaultThemeVersion="124226"/>
  <mc:AlternateContent xmlns:mc="http://schemas.openxmlformats.org/markup-compatibility/2006">
    <mc:Choice Requires="x15">
      <x15ac:absPath xmlns:x15ac="http://schemas.microsoft.com/office/spreadsheetml/2010/11/ac" url="C:\Users\unicordoba\Downloads\mapasderiesgo\"/>
    </mc:Choice>
  </mc:AlternateContent>
  <xr:revisionPtr revIDLastSave="0" documentId="13_ncr:1_{768980F5-789A-493D-829D-9D0CB2A22C74}" xr6:coauthVersionLast="36" xr6:coauthVersionMax="47" xr10:uidLastSave="{00000000-0000-0000-0000-000000000000}"/>
  <bookViews>
    <workbookView xWindow="0" yWindow="0" windowWidth="19200" windowHeight="6930" tabRatio="658" firstSheet="1" activeTab="1" xr2:uid="{00000000-000D-0000-FFFF-FFFF00000000}"/>
  </bookViews>
  <sheets>
    <sheet name="Instructivo" sheetId="20" state="hidden" r:id="rId1"/>
    <sheet name="Mapa inherente" sheetId="22" r:id="rId2"/>
    <sheet name="Matriz Calor Inherente" sheetId="18" r:id="rId3"/>
    <sheet name="Hoja de controles" sheetId="23" r:id="rId4"/>
    <sheet name="Hoja2" sheetId="24" state="hidden" r:id="rId5"/>
    <sheet name="Tabla probabilidad" sheetId="12" state="hidden" r:id="rId6"/>
    <sheet name="Tabla Impacto" sheetId="13" state="hidden" r:id="rId7"/>
    <sheet name="Tabla Valoración controles" sheetId="15" state="hidden" r:id="rId8"/>
    <sheet name="Opciones Tratamiento" sheetId="16" state="hidden" r:id="rId9"/>
    <sheet name="Hoja1" sheetId="11" state="hidden" r:id="rId10"/>
  </sheets>
  <definedNames>
    <definedName name="_xlnm.Print_Area" localSheetId="3">'Hoja de controles'!$A$1:$T$39</definedName>
    <definedName name="_xlnm.Print_Area" localSheetId="1">'Mapa inherente'!$A$1:$N$19</definedName>
  </definedNames>
  <calcPr calcId="191029"/>
  <pivotCaches>
    <pivotCache cacheId="8" r:id="rId11"/>
  </pivotCaches>
</workbook>
</file>

<file path=xl/calcChain.xml><?xml version="1.0" encoding="utf-8"?>
<calcChain xmlns="http://schemas.openxmlformats.org/spreadsheetml/2006/main">
  <c r="C24" i="23" l="1"/>
  <c r="C25" i="23"/>
  <c r="C26" i="23"/>
  <c r="C27" i="23"/>
  <c r="C28" i="23"/>
  <c r="C29" i="23"/>
  <c r="C30" i="23"/>
  <c r="C31" i="23"/>
  <c r="C32" i="23"/>
  <c r="C33" i="23"/>
  <c r="C34" i="23"/>
  <c r="C35" i="23"/>
  <c r="C36" i="23"/>
  <c r="C37" i="23"/>
  <c r="C38" i="23"/>
  <c r="C39" i="23"/>
  <c r="B10" i="23"/>
  <c r="H10" i="22"/>
  <c r="B11" i="23" l="1"/>
  <c r="B12" i="23"/>
  <c r="B13" i="23"/>
  <c r="B14" i="23"/>
  <c r="B15" i="23"/>
  <c r="B16" i="23"/>
  <c r="B17" i="23"/>
  <c r="B18" i="23"/>
  <c r="B19" i="23"/>
  <c r="B20" i="23"/>
  <c r="B21" i="23"/>
  <c r="B22" i="23"/>
  <c r="B23" i="23"/>
  <c r="B24" i="23"/>
  <c r="B25" i="23"/>
  <c r="B26" i="23"/>
  <c r="B27" i="23"/>
  <c r="B28" i="23"/>
  <c r="B29" i="23"/>
  <c r="B30" i="23"/>
  <c r="B31" i="23"/>
  <c r="B32" i="23"/>
  <c r="B33" i="23"/>
  <c r="B34" i="23"/>
  <c r="B35" i="23"/>
  <c r="B36" i="23"/>
  <c r="B37" i="23"/>
  <c r="B38" i="23"/>
  <c r="B39" i="23"/>
  <c r="D10" i="23"/>
  <c r="Q24" i="23"/>
  <c r="Q25" i="23"/>
  <c r="Q26" i="23"/>
  <c r="Q27" i="23"/>
  <c r="Q28" i="23"/>
  <c r="Q29" i="23"/>
  <c r="Q30" i="23"/>
  <c r="Q31" i="23"/>
  <c r="Q32" i="23"/>
  <c r="Q33" i="23"/>
  <c r="Q34" i="23"/>
  <c r="Q35" i="23"/>
  <c r="Q36" i="23"/>
  <c r="Q37" i="23"/>
  <c r="Q38" i="23"/>
  <c r="Q39" i="23"/>
  <c r="O24" i="23"/>
  <c r="O25" i="23"/>
  <c r="O26" i="23"/>
  <c r="O27" i="23"/>
  <c r="O28" i="23"/>
  <c r="O29" i="23"/>
  <c r="O30" i="23"/>
  <c r="O31" i="23"/>
  <c r="O32" i="23"/>
  <c r="O33" i="23"/>
  <c r="O34" i="23"/>
  <c r="O35" i="23"/>
  <c r="O36" i="23"/>
  <c r="O37" i="23"/>
  <c r="O38" i="23"/>
  <c r="O39" i="23"/>
  <c r="M10" i="23"/>
  <c r="M11" i="23"/>
  <c r="N11" i="23"/>
  <c r="M12" i="23"/>
  <c r="N12" i="23"/>
  <c r="M13" i="23"/>
  <c r="N13" i="23"/>
  <c r="M14" i="23"/>
  <c r="N14" i="23"/>
  <c r="M15" i="23"/>
  <c r="N15" i="23"/>
  <c r="M16" i="23"/>
  <c r="N16" i="23"/>
  <c r="M17" i="23"/>
  <c r="N17" i="23"/>
  <c r="M18" i="23"/>
  <c r="N18" i="23"/>
  <c r="M19" i="23"/>
  <c r="N19" i="23"/>
  <c r="M20" i="23"/>
  <c r="N20" i="23"/>
  <c r="M21" i="23"/>
  <c r="N21" i="23"/>
  <c r="M22" i="23"/>
  <c r="N22" i="23"/>
  <c r="M23" i="23"/>
  <c r="N23" i="23"/>
  <c r="M24" i="23"/>
  <c r="N24" i="23"/>
  <c r="M25" i="23"/>
  <c r="N25" i="23"/>
  <c r="M26" i="23"/>
  <c r="N26" i="23"/>
  <c r="M27" i="23"/>
  <c r="N27" i="23"/>
  <c r="M28" i="23"/>
  <c r="N28" i="23"/>
  <c r="M29" i="23"/>
  <c r="N29" i="23"/>
  <c r="M30" i="23"/>
  <c r="N30" i="23"/>
  <c r="M31" i="23"/>
  <c r="N31" i="23"/>
  <c r="M32" i="23"/>
  <c r="N32" i="23"/>
  <c r="M33" i="23"/>
  <c r="N33" i="23"/>
  <c r="M34" i="23"/>
  <c r="N34" i="23"/>
  <c r="M35" i="23"/>
  <c r="N35" i="23"/>
  <c r="M36" i="23"/>
  <c r="N36" i="23"/>
  <c r="M37" i="23"/>
  <c r="N37" i="23"/>
  <c r="M38" i="23"/>
  <c r="N38" i="23"/>
  <c r="M39" i="23"/>
  <c r="N39" i="23"/>
  <c r="H15" i="22"/>
  <c r="H14" i="22"/>
  <c r="I14" i="22" s="1"/>
  <c r="H13" i="22"/>
  <c r="I13" i="22" s="1"/>
  <c r="N10" i="23"/>
  <c r="H12" i="22"/>
  <c r="I12" i="22" s="1"/>
  <c r="H11" i="22"/>
  <c r="I11" i="22" s="1"/>
  <c r="I10" i="22"/>
  <c r="D20" i="23" l="1"/>
  <c r="D22" i="23"/>
  <c r="D11" i="23"/>
  <c r="O10" i="23"/>
  <c r="I15" i="22"/>
  <c r="O22" i="23" l="1"/>
  <c r="O20" i="23"/>
  <c r="D21" i="23"/>
  <c r="D23" i="23"/>
  <c r="D12" i="23"/>
  <c r="O11" i="23"/>
  <c r="P10" i="23"/>
  <c r="O23" i="23" l="1"/>
  <c r="O21" i="23"/>
  <c r="P11" i="23"/>
  <c r="D24" i="23"/>
  <c r="D13" i="23"/>
  <c r="O12" i="23"/>
  <c r="P12" i="23" s="1"/>
  <c r="D25" i="23" l="1"/>
  <c r="D14" i="23"/>
  <c r="D15" i="23" s="1"/>
  <c r="O13" i="23"/>
  <c r="D16" i="23" l="1"/>
  <c r="D17" i="23" s="1"/>
  <c r="D18" i="23" s="1"/>
  <c r="D19" i="23" s="1"/>
  <c r="P13" i="23"/>
  <c r="D26" i="23"/>
  <c r="O14" i="23"/>
  <c r="P14" i="23" s="1"/>
  <c r="O15" i="23" l="1"/>
  <c r="P15" i="23" s="1"/>
  <c r="D27" i="23"/>
  <c r="O16" i="23" l="1"/>
  <c r="D28" i="23"/>
  <c r="P16" i="23" l="1"/>
  <c r="O17" i="23"/>
  <c r="P17" i="23" l="1"/>
  <c r="O18" i="23"/>
  <c r="P18" i="23" l="1"/>
  <c r="O19" i="23"/>
  <c r="P19" i="23" s="1"/>
  <c r="P20" i="23"/>
  <c r="F225" i="13"/>
  <c r="F215" i="13"/>
  <c r="F216" i="13"/>
  <c r="F217" i="13"/>
  <c r="F218" i="13"/>
  <c r="F219" i="13"/>
  <c r="F220" i="13"/>
  <c r="F221" i="13"/>
  <c r="F222" i="13"/>
  <c r="F223" i="13"/>
  <c r="F224" i="13"/>
  <c r="F214" i="13"/>
  <c r="B225" i="13" a="1"/>
  <c r="P21" i="23" l="1"/>
  <c r="B225" i="13"/>
  <c r="K14" i="22" l="1"/>
  <c r="L14" i="22" s="1"/>
  <c r="K15" i="22"/>
  <c r="L15" i="22" s="1"/>
  <c r="K13" i="22"/>
  <c r="L13" i="22" s="1"/>
  <c r="K12" i="22"/>
  <c r="L12" i="22" s="1"/>
  <c r="K11" i="22"/>
  <c r="L11" i="22" s="1"/>
  <c r="K10" i="22"/>
  <c r="L10" i="22" s="1"/>
  <c r="P22" i="23"/>
  <c r="H214" i="13"/>
  <c r="V27" i="18" l="1"/>
  <c r="AH27" i="18"/>
  <c r="AB15" i="18"/>
  <c r="P15" i="18"/>
  <c r="AH9" i="18"/>
  <c r="M10" i="22"/>
  <c r="Q10" i="23" s="1"/>
  <c r="V21" i="18"/>
  <c r="AB33" i="18"/>
  <c r="AH33" i="18"/>
  <c r="AB9" i="18"/>
  <c r="AB21" i="18"/>
  <c r="AB27" i="18"/>
  <c r="J27" i="18"/>
  <c r="J9" i="18"/>
  <c r="P27" i="18"/>
  <c r="J15" i="18"/>
  <c r="N10" i="22"/>
  <c r="V33" i="18"/>
  <c r="P21" i="18"/>
  <c r="AH15" i="18"/>
  <c r="J21" i="18"/>
  <c r="P9" i="18"/>
  <c r="J33" i="18"/>
  <c r="AH21" i="18"/>
  <c r="V9" i="18"/>
  <c r="V15" i="18"/>
  <c r="P33" i="18"/>
  <c r="R33" i="18"/>
  <c r="AD33" i="18"/>
  <c r="AJ9" i="18"/>
  <c r="AD9" i="18"/>
  <c r="X27" i="18"/>
  <c r="AD15" i="18"/>
  <c r="AD21" i="18"/>
  <c r="L27" i="18"/>
  <c r="X15" i="18"/>
  <c r="R27" i="18"/>
  <c r="L33" i="18"/>
  <c r="L9" i="18"/>
  <c r="AD27" i="18"/>
  <c r="AJ21" i="18"/>
  <c r="R9" i="18"/>
  <c r="L21" i="18"/>
  <c r="L15" i="18"/>
  <c r="M11" i="22"/>
  <c r="Q13" i="23" s="1"/>
  <c r="R15" i="18"/>
  <c r="X33" i="18"/>
  <c r="X21" i="18"/>
  <c r="N11" i="22"/>
  <c r="AJ33" i="18"/>
  <c r="X9" i="18"/>
  <c r="AJ27" i="18"/>
  <c r="AJ15" i="18"/>
  <c r="R21" i="18"/>
  <c r="AL21" i="18"/>
  <c r="T15" i="18"/>
  <c r="AF27" i="18"/>
  <c r="AF15" i="18"/>
  <c r="N21" i="18"/>
  <c r="N33" i="18"/>
  <c r="Z33" i="18"/>
  <c r="M12" i="22"/>
  <c r="AL9" i="18"/>
  <c r="Z21" i="18"/>
  <c r="T21" i="18"/>
  <c r="AF9" i="18"/>
  <c r="T27" i="18"/>
  <c r="Z15" i="18"/>
  <c r="N27" i="18"/>
  <c r="AL27" i="18"/>
  <c r="N12" i="22"/>
  <c r="T9" i="18"/>
  <c r="N9" i="18"/>
  <c r="N15" i="18"/>
  <c r="AL15" i="18"/>
  <c r="AL33" i="18"/>
  <c r="Z27" i="18"/>
  <c r="T33" i="18"/>
  <c r="AF33" i="18"/>
  <c r="Z9" i="18"/>
  <c r="AF21" i="18"/>
  <c r="V35" i="18"/>
  <c r="AH35" i="18"/>
  <c r="P11" i="18"/>
  <c r="J11" i="18"/>
  <c r="AB23" i="18"/>
  <c r="J17" i="18"/>
  <c r="M13" i="22"/>
  <c r="Q17" i="23" s="1"/>
  <c r="P29" i="18"/>
  <c r="P35" i="18"/>
  <c r="V29" i="18"/>
  <c r="V17" i="18"/>
  <c r="N13" i="22"/>
  <c r="P23" i="18"/>
  <c r="AH29" i="18"/>
  <c r="AB35" i="18"/>
  <c r="AH11" i="18"/>
  <c r="AB11" i="18"/>
  <c r="V23" i="18"/>
  <c r="V11" i="18"/>
  <c r="J29" i="18"/>
  <c r="P17" i="18"/>
  <c r="AH23" i="18"/>
  <c r="AB29" i="18"/>
  <c r="AB17" i="18"/>
  <c r="AH17" i="18"/>
  <c r="J35" i="18"/>
  <c r="J23" i="18"/>
  <c r="M15" i="22"/>
  <c r="Q22" i="23" s="1"/>
  <c r="N23" i="18"/>
  <c r="Z23" i="18"/>
  <c r="T29" i="18"/>
  <c r="AL35" i="18"/>
  <c r="N15" i="22"/>
  <c r="T17" i="18"/>
  <c r="AF29" i="18"/>
  <c r="Z17" i="18"/>
  <c r="AF17" i="18"/>
  <c r="N35" i="18"/>
  <c r="Z35" i="18"/>
  <c r="AL23" i="18"/>
  <c r="T23" i="18"/>
  <c r="AF11" i="18"/>
  <c r="AL17" i="18"/>
  <c r="AF35" i="18"/>
  <c r="N29" i="18"/>
  <c r="N17" i="18"/>
  <c r="AL29" i="18"/>
  <c r="Z29" i="18"/>
  <c r="T11" i="18"/>
  <c r="Z11" i="18"/>
  <c r="T35" i="18"/>
  <c r="N11" i="18"/>
  <c r="AF23" i="18"/>
  <c r="AL11" i="18"/>
  <c r="R23" i="18"/>
  <c r="X17" i="18"/>
  <c r="AD35" i="18"/>
  <c r="AJ29" i="18"/>
  <c r="AJ17" i="18"/>
  <c r="L23" i="18"/>
  <c r="R35" i="18"/>
  <c r="L11" i="18"/>
  <c r="AD17" i="18"/>
  <c r="AD23" i="18"/>
  <c r="X29" i="18"/>
  <c r="X23" i="18"/>
  <c r="AJ11" i="18"/>
  <c r="L35" i="18"/>
  <c r="N14" i="22"/>
  <c r="AJ35" i="18"/>
  <c r="R29" i="18"/>
  <c r="R17" i="18"/>
  <c r="M14" i="22"/>
  <c r="Q20" i="23" s="1"/>
  <c r="AD29" i="18"/>
  <c r="X35" i="18"/>
  <c r="X11" i="18"/>
  <c r="L29" i="18"/>
  <c r="R11" i="18"/>
  <c r="AJ23" i="18"/>
  <c r="L17" i="18"/>
  <c r="AD11" i="18"/>
  <c r="R24" i="23"/>
  <c r="P23" i="23"/>
  <c r="C22" i="23" l="1"/>
  <c r="C23" i="23"/>
  <c r="C15" i="23"/>
  <c r="C16" i="23"/>
  <c r="Q21" i="23"/>
  <c r="R21" i="23" s="1"/>
  <c r="S21" i="23" s="1"/>
  <c r="R20" i="23"/>
  <c r="S20" i="23" s="1"/>
  <c r="C17" i="23"/>
  <c r="C18" i="23"/>
  <c r="C19" i="23"/>
  <c r="R13" i="23"/>
  <c r="S13" i="23" s="1"/>
  <c r="Q14" i="23"/>
  <c r="C20" i="23"/>
  <c r="C21" i="23"/>
  <c r="Q11" i="23"/>
  <c r="R10" i="23"/>
  <c r="S10" i="23" s="1"/>
  <c r="C11" i="23"/>
  <c r="C10" i="23"/>
  <c r="C12" i="23"/>
  <c r="C13" i="23"/>
  <c r="C14" i="23"/>
  <c r="R17" i="23"/>
  <c r="S17" i="23" s="1"/>
  <c r="Q18" i="23"/>
  <c r="Q23" i="23"/>
  <c r="R23" i="23" s="1"/>
  <c r="S23" i="23" s="1"/>
  <c r="R22" i="23"/>
  <c r="S22" i="23" s="1"/>
  <c r="D29" i="23"/>
  <c r="R25" i="23"/>
  <c r="P24" i="23"/>
  <c r="S24" i="23" s="1"/>
  <c r="Q19" i="23" l="1"/>
  <c r="R19" i="23" s="1"/>
  <c r="S19" i="23" s="1"/>
  <c r="R18" i="23"/>
  <c r="S18" i="23" s="1"/>
  <c r="Q15" i="23"/>
  <c r="R14" i="23"/>
  <c r="S14" i="23" s="1"/>
  <c r="R11" i="23"/>
  <c r="S11" i="23" s="1"/>
  <c r="Q12" i="23"/>
  <c r="R12" i="23" s="1"/>
  <c r="S12" i="23" s="1"/>
  <c r="D30" i="23"/>
  <c r="R26" i="23"/>
  <c r="P25" i="23"/>
  <c r="S25" i="23" s="1"/>
  <c r="R15" i="23" l="1"/>
  <c r="S15" i="23" s="1"/>
  <c r="Q16" i="23"/>
  <c r="R16" i="23" s="1"/>
  <c r="S16" i="23" s="1"/>
  <c r="D31" i="23"/>
  <c r="R27" i="23"/>
  <c r="P26" i="23"/>
  <c r="S26" i="23" s="1"/>
  <c r="D32" i="23" l="1"/>
  <c r="R28" i="23"/>
  <c r="P27" i="23"/>
  <c r="S27" i="23" s="1"/>
  <c r="D33" i="23" l="1"/>
  <c r="P28" i="23"/>
  <c r="S28" i="23" s="1"/>
  <c r="D34" i="23" l="1"/>
  <c r="D35" i="23" l="1"/>
  <c r="D36" i="23" l="1"/>
  <c r="D37" i="23" l="1"/>
  <c r="D38" i="23" l="1"/>
  <c r="D39" i="23" l="1"/>
  <c r="R29" i="23"/>
  <c r="R30" i="23" l="1"/>
  <c r="P29" i="23"/>
  <c r="S29" i="23" s="1"/>
  <c r="R31" i="23" l="1"/>
  <c r="P30" i="23"/>
  <c r="S30" i="23" s="1"/>
  <c r="R32" i="23" l="1"/>
  <c r="P31" i="23"/>
  <c r="S31" i="23" s="1"/>
  <c r="R33" i="23" l="1"/>
  <c r="P32" i="23"/>
  <c r="S32" i="23" s="1"/>
  <c r="R34" i="23" l="1"/>
  <c r="P33" i="23"/>
  <c r="S33" i="23" s="1"/>
  <c r="R35" i="23" l="1"/>
  <c r="P34" i="23"/>
  <c r="S34" i="23" s="1"/>
  <c r="R36" i="23" l="1"/>
  <c r="P35" i="23"/>
  <c r="S35" i="23" s="1"/>
  <c r="R37" i="23" l="1"/>
  <c r="P36" i="23"/>
  <c r="S36" i="23" s="1"/>
  <c r="R38" i="23" l="1"/>
  <c r="P37" i="23"/>
  <c r="S37" i="23" s="1"/>
  <c r="R39" i="23" l="1"/>
  <c r="P39" i="23"/>
  <c r="P38" i="23"/>
  <c r="S38" i="23" s="1"/>
  <c r="S39" i="23" l="1"/>
  <c r="B227" i="13"/>
  <c r="B226"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 miguel vergara</author>
  </authors>
  <commentList>
    <comment ref="O8" authorId="0" shapeId="0" xr:uid="{E3ED222C-3F81-4B48-9E7A-8D59BF9C03CD}">
      <text>
        <r>
          <rPr>
            <b/>
            <sz val="9"/>
            <color indexed="81"/>
            <rFont val="Tahoma"/>
            <family val="2"/>
          </rPr>
          <t>jose miguel vergara:</t>
        </r>
        <r>
          <rPr>
            <sz val="9"/>
            <color indexed="81"/>
            <rFont val="Tahoma"/>
            <family val="2"/>
          </rPr>
          <t xml:space="preserve">
Ocultar</t>
        </r>
      </text>
    </comment>
    <comment ref="Q8" authorId="0" shapeId="0" xr:uid="{E12DF1B4-98B5-4868-A25E-90CDC52B77EE}">
      <text>
        <r>
          <rPr>
            <b/>
            <sz val="9"/>
            <color indexed="81"/>
            <rFont val="Tahoma"/>
            <family val="2"/>
          </rPr>
          <t>jose miguel vergara:</t>
        </r>
        <r>
          <rPr>
            <sz val="9"/>
            <color indexed="81"/>
            <rFont val="Tahoma"/>
            <family val="2"/>
          </rPr>
          <t xml:space="preserve">
Ocultar</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<sst xmlns="http://schemas.openxmlformats.org/spreadsheetml/2006/main" count="478" uniqueCount="278">
  <si>
    <t xml:space="preserve">Referencia </t>
  </si>
  <si>
    <t>Descripción del Riesgo</t>
  </si>
  <si>
    <t>Impacto</t>
  </si>
  <si>
    <t>Causa Inmediata</t>
  </si>
  <si>
    <t>Probabilidad</t>
  </si>
  <si>
    <t>%</t>
  </si>
  <si>
    <t>Alta</t>
  </si>
  <si>
    <t>Mayor</t>
  </si>
  <si>
    <t>Atributos</t>
  </si>
  <si>
    <t>Manual</t>
  </si>
  <si>
    <t>Automático</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</si>
  <si>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</si>
  <si>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</si>
  <si>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</si>
  <si>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</si>
  <si>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</si>
  <si>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</si>
  <si>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</si>
  <si>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</si>
  <si>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</si>
  <si>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</si>
  <si>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</si>
  <si>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</si>
  <si>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</si>
  <si>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</si>
  <si>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</si>
  <si>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</si>
  <si>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Tratamiento</t>
  </si>
  <si>
    <t>Reducir</t>
  </si>
  <si>
    <t>Aceptar</t>
  </si>
  <si>
    <t>Evitar</t>
  </si>
  <si>
    <t>Probabilidad Inherente</t>
  </si>
  <si>
    <t>Estado</t>
  </si>
  <si>
    <t>Finalizado</t>
  </si>
  <si>
    <t>En curso</t>
  </si>
  <si>
    <t>Causa Raíz</t>
  </si>
  <si>
    <t>Proceso:</t>
  </si>
  <si>
    <t>Alcance:</t>
  </si>
  <si>
    <t>Impacto 
Inherente</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</si>
  <si>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</si>
  <si>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</si>
  <si>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</si>
  <si>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</si>
  <si>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</si>
  <si>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</si>
  <si>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</si>
  <si>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</si>
  <si>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</si>
  <si>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</si>
  <si>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</si>
  <si>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</si>
  <si>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</si>
  <si>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</si>
  <si>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</si>
  <si>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</si>
  <si>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</si>
  <si>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</si>
  <si>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</si>
  <si>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</si>
  <si>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</si>
  <si>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</si>
  <si>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</si>
  <si>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</si>
  <si>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</si>
  <si>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</si>
  <si>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</si>
  <si>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</si>
  <si>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</si>
  <si>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</si>
  <si>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</si>
  <si>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</si>
  <si>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</si>
  <si>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</si>
  <si>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</si>
  <si>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</si>
  <si>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</si>
  <si>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</si>
  <si>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</si>
  <si>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</si>
  <si>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</si>
  <si>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</si>
  <si>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</si>
  <si>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</si>
  <si>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</si>
  <si>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</si>
  <si>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</si>
  <si>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</si>
  <si>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</si>
  <si>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</si>
  <si>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</si>
  <si>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</si>
  <si>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</si>
  <si>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</si>
  <si>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</si>
  <si>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</si>
  <si>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</si>
  <si>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</si>
  <si>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</si>
  <si>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</si>
  <si>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</si>
  <si>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</si>
  <si>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</si>
  <si>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</si>
  <si>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</si>
  <si>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</si>
  <si>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</si>
  <si>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</si>
  <si>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</si>
  <si>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</si>
  <si>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</si>
  <si>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</si>
  <si>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</si>
  <si>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</si>
  <si>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</si>
  <si>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</si>
  <si>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</si>
  <si>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</si>
  <si>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</si>
  <si>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</si>
  <si>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</si>
  <si>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Objetivo:</t>
  </si>
  <si>
    <t>Reputacional</t>
  </si>
  <si>
    <t>Económico</t>
  </si>
  <si>
    <t>Económico y Reputacional</t>
  </si>
  <si>
    <t>Reducir (mitigar)</t>
  </si>
  <si>
    <t>Reducir (compartir)</t>
  </si>
  <si>
    <t>Probabilidad Residual</t>
  </si>
  <si>
    <t>Identificación del riesgo</t>
  </si>
  <si>
    <t>Análisis del riesgo inherente</t>
  </si>
  <si>
    <t>Fuente:  Adaptado de Curso Riesgo Operativo Universidad del Rosario por Dirección de Gestión y Desempeño Institucional de Función Pública,  2020.</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</si>
  <si>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</si>
  <si>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</si>
  <si>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</si>
  <si>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</si>
  <si>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</si>
  <si>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</si>
  <si>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</si>
  <si>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</si>
  <si>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</si>
  <si>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</si>
  <si>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</si>
  <si>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</si>
  <si>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</si>
  <si>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</si>
  <si>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</si>
  <si>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</si>
  <si>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</si>
  <si>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</si>
  <si>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</si>
  <si>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</si>
  <si>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</si>
  <si>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</si>
  <si>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</si>
  <si>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</si>
  <si>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</si>
  <si>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</si>
  <si>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</si>
  <si>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</si>
  <si>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</si>
  <si>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</si>
  <si>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</si>
  <si>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</si>
  <si>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</si>
  <si>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</si>
  <si>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</si>
  <si>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</si>
  <si>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</si>
  <si>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</si>
  <si>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</si>
  <si>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</si>
  <si>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</si>
  <si>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</si>
  <si>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</si>
  <si>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</si>
  <si>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</si>
  <si>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</si>
  <si>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</si>
  <si>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</si>
  <si>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</si>
  <si>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</si>
  <si>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</si>
  <si>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</si>
  <si>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</si>
  <si>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</si>
  <si>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</si>
  <si>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</si>
  <si>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</si>
  <si>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</si>
  <si>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</si>
  <si>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</si>
  <si>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</si>
  <si>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UNIVERSIDAD DE CÓRDOBA</t>
  </si>
  <si>
    <t>MATRIZ MAPA DE RIESGOS</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</si>
  <si>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Guía para la Administración del Riesgo y el diseño de controles V5. El formato cuenta con celdas parametrizadas y permite contar con los respectivos mapas de calor para riesgo inherente y riesgo residual.</t>
  </si>
  <si>
    <r>
      <t xml:space="preserve">Antes de iniciar con el diligenciamiento de la información en la matriz, se requiere haber avanzado en el análisis del proceso, su objetivo, alcance, actividades clave,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</si>
  <si>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3 Matriz de Calor Inherente:</t>
    </r>
    <r>
      <rPr>
        <b/>
        <sz val="11"/>
        <rFont val="Arial Narrow"/>
        <family val="2"/>
      </rPr>
      <t xml:space="preserve"> </t>
    </r>
    <r>
      <rPr>
        <sz val="11"/>
        <rFont val="Arial Narrow"/>
        <family val="2"/>
      </rPr>
      <t xml:space="preserve"> En esta hoja, en la medida en que ese diligencia el Mapa Final, se verán reflejados los riesgos en su zona correspondiente. Esta hoja no se diligencia se genera de manera automática.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</si>
  <si>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4 Matriz de Calor Residual:</t>
    </r>
    <r>
      <rPr>
        <b/>
        <sz val="11"/>
        <rFont val="Arial Narrow"/>
        <family val="2"/>
      </rPr>
      <t xml:space="preserve"> </t>
    </r>
    <r>
      <rPr>
        <sz val="11"/>
        <rFont val="Arial Narrow"/>
        <family val="2"/>
      </rPr>
      <t>En esta hoja, en la medida en que ese diligencia el Mapa Final, se verán reflejados los riesgos en su zona correspondiente. Esta hoja no se diligencia se genera de manera automática.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</si>
  <si>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5 Tabla de probabilidad:</t>
    </r>
    <r>
      <rPr>
        <b/>
        <sz val="11"/>
        <rFont val="Arial Narrow"/>
        <family val="2"/>
      </rPr>
      <t xml:space="preserve"> </t>
    </r>
    <r>
      <rPr>
        <sz val="11"/>
        <rFont val="Arial Narrow"/>
        <family val="2"/>
      </rPr>
      <t>Tabla referente para todos los cálculos (no se diligencia)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</si>
  <si>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6 Tabla de Impacto:</t>
    </r>
    <r>
      <rPr>
        <b/>
        <sz val="11"/>
        <rFont val="Arial Narrow"/>
        <family val="2"/>
      </rPr>
      <t xml:space="preserve"> </t>
    </r>
    <r>
      <rPr>
        <sz val="11"/>
        <rFont val="Arial Narrow"/>
        <family val="2"/>
      </rPr>
      <t>Tabla referente para todos los cálculos (no se diligencia)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</si>
  <si>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7 Tabla de Valoración de Controles:</t>
    </r>
    <r>
      <rPr>
        <b/>
        <sz val="11"/>
        <rFont val="Arial Narrow"/>
        <family val="2"/>
      </rPr>
      <t xml:space="preserve"> </t>
    </r>
    <r>
      <rPr>
        <sz val="11"/>
        <rFont val="Arial Narrow"/>
        <family val="2"/>
      </rPr>
      <t>Tabla referente para todos los cálculos (no se diligencia)</t>
    </r>
  </si>
  <si>
    <t>Afectación Económica o presupuestal - No seleccionar</t>
  </si>
  <si>
    <t>Pérdida Reputacional - No seleccionar</t>
  </si>
  <si>
    <t>Fecha elaboración</t>
  </si>
  <si>
    <r>
      <rPr>
        <b/>
        <sz val="11"/>
        <color theme="1"/>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</si>
  <si>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Componente que afecta</t>
  </si>
  <si>
    <t>Impacto residual</t>
  </si>
  <si>
    <t>Valoración de controles</t>
  </si>
  <si>
    <t>Nivel de riesgo residual</t>
  </si>
  <si>
    <t>Zona probabilidad residual</t>
  </si>
  <si>
    <t xml:space="preserve">Zona Impacto Residual </t>
  </si>
  <si>
    <t>Nivel de afectación a riesgo</t>
  </si>
  <si>
    <t>Diaria</t>
  </si>
  <si>
    <t>Semanal</t>
  </si>
  <si>
    <t>Mensual</t>
  </si>
  <si>
    <t>Semestral</t>
  </si>
  <si>
    <t>Anual</t>
  </si>
  <si>
    <t>Trimestral</t>
  </si>
  <si>
    <t>Cuatrimestral</t>
  </si>
  <si>
    <r>
      <t xml:space="preserve">CÓDIGO: 
</t>
    </r>
    <r>
      <rPr>
        <sz val="11"/>
        <color theme="1"/>
        <rFont val="Tahoma"/>
        <family val="2"/>
      </rPr>
      <t>FMAM-013</t>
    </r>
    <r>
      <rPr>
        <b/>
        <sz val="11"/>
        <color theme="1"/>
        <rFont val="Tahoma"/>
        <family val="2"/>
      </rPr>
      <t xml:space="preserve">
VERSIÓN: </t>
    </r>
    <r>
      <rPr>
        <sz val="11"/>
        <color theme="1"/>
        <rFont val="Tahoma"/>
        <family val="2"/>
      </rPr>
      <t>06</t>
    </r>
    <r>
      <rPr>
        <b/>
        <sz val="11"/>
        <color theme="1"/>
        <rFont val="Tahoma"/>
        <family val="2"/>
      </rPr>
      <t xml:space="preserve">
EMISIÓN:
</t>
    </r>
    <r>
      <rPr>
        <sz val="11"/>
        <color theme="1"/>
        <rFont val="Tahoma"/>
        <family val="2"/>
      </rPr>
      <t>05/12/2023</t>
    </r>
  </si>
  <si>
    <t>Frecuencia con la cual se realiza la actividad
-
Diligencie este campo</t>
  </si>
  <si>
    <t>Criterios de impacto
-
Diligencie este campo</t>
  </si>
  <si>
    <t>Periodicidad
Ejemplo: Diario, Semanal, Mensual, etc.</t>
  </si>
  <si>
    <t>Evidencia
Ejemplo: Informe de revisión, Acta de reunión.</t>
  </si>
  <si>
    <t>Ref. Riesgo
- 
Seleccione un valor</t>
  </si>
  <si>
    <t>No. Control
-
No editable</t>
  </si>
  <si>
    <t>Descripción Riesgo
-
No editable</t>
  </si>
  <si>
    <t>Riesgo Inherente
-
No editable</t>
  </si>
  <si>
    <r>
      <t xml:space="preserve">CÓDIGO: 
</t>
    </r>
    <r>
      <rPr>
        <sz val="11"/>
        <color theme="1"/>
        <rFont val="Tahoma"/>
        <family val="2"/>
      </rPr>
      <t>FMAM-013</t>
    </r>
    <r>
      <rPr>
        <b/>
        <sz val="11"/>
        <color theme="1"/>
        <rFont val="Tahoma"/>
        <family val="2"/>
      </rPr>
      <t xml:space="preserve">
VERSIÓN: </t>
    </r>
    <r>
      <rPr>
        <sz val="11"/>
        <color theme="1"/>
        <rFont val="Tahoma"/>
        <family val="2"/>
      </rPr>
      <t>06</t>
    </r>
    <r>
      <rPr>
        <b/>
        <sz val="11"/>
        <color theme="1"/>
        <rFont val="Tahoma"/>
        <family val="2"/>
      </rPr>
      <t xml:space="preserve">
EMISIÓN:
12/12/2023</t>
    </r>
  </si>
  <si>
    <r>
      <rPr>
        <b/>
        <sz val="22"/>
        <color theme="1"/>
        <rFont val="Tahoma"/>
        <family val="2"/>
      </rPr>
      <t xml:space="preserve">CÓDIGO: </t>
    </r>
    <r>
      <rPr>
        <sz val="22"/>
        <color theme="1"/>
        <rFont val="Tahoma"/>
        <family val="2"/>
      </rPr>
      <t xml:space="preserve">
FMAM-013
</t>
    </r>
    <r>
      <rPr>
        <b/>
        <sz val="22"/>
        <color theme="1"/>
        <rFont val="Tahoma"/>
        <family val="2"/>
      </rPr>
      <t>VERSIÓN:</t>
    </r>
    <r>
      <rPr>
        <sz val="22"/>
        <color theme="1"/>
        <rFont val="Tahoma"/>
        <family val="2"/>
      </rPr>
      <t xml:space="preserve"> 06
</t>
    </r>
    <r>
      <rPr>
        <b/>
        <sz val="22"/>
        <color theme="1"/>
        <rFont val="Tahoma"/>
        <family val="2"/>
      </rPr>
      <t>EMISIÓN:</t>
    </r>
    <r>
      <rPr>
        <sz val="22"/>
        <color theme="1"/>
        <rFont val="Tahoma"/>
        <family val="2"/>
      </rPr>
      <t xml:space="preserve">
12/12/2023</t>
    </r>
  </si>
  <si>
    <r>
      <t xml:space="preserve">CÓDIGO: 
</t>
    </r>
    <r>
      <rPr>
        <sz val="10"/>
        <color theme="1"/>
        <rFont val="Tahoma"/>
        <family val="2"/>
      </rPr>
      <t>FMAM-013</t>
    </r>
    <r>
      <rPr>
        <b/>
        <sz val="10"/>
        <color theme="1"/>
        <rFont val="Tahoma"/>
        <family val="2"/>
      </rPr>
      <t xml:space="preserve">
VERSIÓN: </t>
    </r>
    <r>
      <rPr>
        <sz val="10"/>
        <color theme="1"/>
        <rFont val="Tahoma"/>
        <family val="2"/>
      </rPr>
      <t>06</t>
    </r>
    <r>
      <rPr>
        <b/>
        <sz val="10"/>
        <color theme="1"/>
        <rFont val="Tahoma"/>
        <family val="2"/>
      </rPr>
      <t xml:space="preserve">
EMISIÓN:
</t>
    </r>
    <r>
      <rPr>
        <sz val="10"/>
        <color theme="1"/>
        <rFont val="Tahoma"/>
        <family val="2"/>
      </rPr>
      <t>12/12/2023</t>
    </r>
  </si>
  <si>
    <r>
      <t xml:space="preserve">CÓDIGO: 
</t>
    </r>
    <r>
      <rPr>
        <sz val="9"/>
        <color theme="1"/>
        <rFont val="Tahoma"/>
        <family val="2"/>
      </rPr>
      <t>FMAM-013</t>
    </r>
    <r>
      <rPr>
        <b/>
        <sz val="9"/>
        <color theme="1"/>
        <rFont val="Tahoma"/>
        <family val="2"/>
      </rPr>
      <t xml:space="preserve">
VERSIÓN: </t>
    </r>
    <r>
      <rPr>
        <sz val="9"/>
        <color theme="1"/>
        <rFont val="Tahoma"/>
        <family val="2"/>
      </rPr>
      <t>06</t>
    </r>
    <r>
      <rPr>
        <b/>
        <sz val="9"/>
        <color theme="1"/>
        <rFont val="Tahoma"/>
        <family val="2"/>
      </rPr>
      <t xml:space="preserve">
EMISIÓN:
</t>
    </r>
    <r>
      <rPr>
        <sz val="9"/>
        <color theme="1"/>
        <rFont val="Tahoma"/>
        <family val="2"/>
      </rPr>
      <t>12/12/2023</t>
    </r>
  </si>
  <si>
    <r>
      <t xml:space="preserve">CÓDIGO: 
</t>
    </r>
    <r>
      <rPr>
        <sz val="10"/>
        <color theme="1"/>
        <rFont val="Tahoma"/>
        <family val="2"/>
      </rPr>
      <t>FMAM-013</t>
    </r>
    <r>
      <rPr>
        <b/>
        <sz val="10"/>
        <color theme="1"/>
        <rFont val="Tahoma"/>
        <family val="2"/>
      </rPr>
      <t xml:space="preserve">
VERSIÓN: </t>
    </r>
    <r>
      <rPr>
        <sz val="10"/>
        <color theme="1"/>
        <rFont val="Tahoma"/>
        <family val="2"/>
      </rPr>
      <t>06</t>
    </r>
    <r>
      <rPr>
        <b/>
        <sz val="10"/>
        <color theme="1"/>
        <rFont val="Tahoma"/>
        <family val="2"/>
      </rPr>
      <t xml:space="preserve">
EMISIÓN:
12/12/2023</t>
    </r>
  </si>
  <si>
    <t xml:space="preserve">Los programas de Bienestar no favorecen la adaptación  de estudiantes provenientes de poblaciones vulnerables y heterogéneas </t>
  </si>
  <si>
    <t>La no identificación de necesidades y requerimientos de la población vulnerable y heterogenea presente en la Universidad</t>
  </si>
  <si>
    <t>Posibilidad  de afectación reputacional porque los programas de Bienestar no favorecen la adaptación  de estudiantes provenientes de poblaciones vulnerables heterogeneas debido a  que no se cuenta con la identificación de necesidades y requerimientos  de dicha población</t>
  </si>
  <si>
    <t>BIENESTAR INSTITUCIONAL</t>
  </si>
  <si>
    <t>El proceso de Bienestar Institucional aplica para los estudiantes de pregrado y posgrado, servidores públicos docentes y no docentes activos en la Universidad de Córdoba.</t>
  </si>
  <si>
    <t>El profesional responsable del área de investigación y gestión de la calidad, compilará anualmente la información producto del censo para la Caracterización de la población vulnerable y heterogénea de los estudiantes de pregrado mediante encuesta aplicada a los estudiantes en su primer ingreso a la institución</t>
  </si>
  <si>
    <t>Informe de Caracterización</t>
  </si>
  <si>
    <t>Desarrollo de actividades acordes a las necesidades y requerimientos identificados en la caracterización de la población vulnerable y heterogenea, implementadas en las diferentes áreas de servicio de Bienestar Institucional, con base en la viabilidad financiera de los mismos.</t>
  </si>
  <si>
    <t>Formatos del proceso, plantillas de cargue de información e informes</t>
  </si>
  <si>
    <t>Comunicar o notificar a otros proceso de la Universidad (Docencia, Planeación y desarrollo, logistica, Talento Humano y  comunicaciones)  las necesidades y requerimientos identificados en la población vulnerable y heterogenea de la Universidad, según su pertinencia.</t>
  </si>
  <si>
    <t>Comunicaciones Internas, Correos electronicos</t>
  </si>
  <si>
    <t xml:space="preserve">La no contratación a tiempo para la prestacion del servicio </t>
  </si>
  <si>
    <t>Retrasos en la Contratación requerida para la prestación de servicios</t>
  </si>
  <si>
    <t>La posibilidad de afectación reputacional por falta de oportunidad en la prestación de los servicios debido a los retrasos en la contratación de prestadores externos</t>
  </si>
  <si>
    <t>seguimiento a la contratación  para evitar retrazos en la  prestacion de los servicios de bienestar.</t>
  </si>
  <si>
    <t>Contratación oportuna de personal calificado y de los prestadores que se ajusten a las necesidades para mejorar la oportunidad de los servicios que brinda bienestar institucional</t>
  </si>
  <si>
    <t>Solicitudes de personal, solicitudes de cdp, estudios previos</t>
  </si>
  <si>
    <t>El presupuesto asignado al proceso es inferior a lo proyectado para la ejecución de los programas</t>
  </si>
  <si>
    <t xml:space="preserve">Bajo presupuesto para la ejecución del POA </t>
  </si>
  <si>
    <t>Posibilidad de afectación economico y reputacional por presupuesto insuficiente para  la ejecución total del Plan Operativo Anual</t>
  </si>
  <si>
    <t xml:space="preserve">El líder del proceso elaborará y remitirá anualmente el presupuesto del proceso a la dependencia correspondiente, para evidenciar la necesidad de la totalidad de recursos para implementar las actividades planeadas. Luego sustentara en el Comite de presupuesto la  necesidad de que se otorgue presupuesto segun lo proyectado. </t>
  </si>
  <si>
    <t xml:space="preserve">En caso de no ser aprobado en su totalidad el presupuesto proyectado por Bienestar, el lider solicitara  adicion presupuestal para culminar la vigencia y cumplir con lo establecido en el POA del proceso. </t>
  </si>
  <si>
    <t>Adelantar un trámite que beneficie a su solicitante (estudiantes, docentes y administrativos) sin el cumplimento de los requisitos establecidos para ello</t>
  </si>
  <si>
    <t>debido al tráfico de influencia, Amiguismo y/o  clientelismo</t>
  </si>
  <si>
    <t>Apropiación, uso o aplicación indebida de los equipos y elementos de las áreas Culturales, artísticas y deportivas,  por parte de los funcionarios públicos encargados de su administración, manejo y/o custodia, en beneficio propio, favorecimiento a terceros o asuntos no institucionales</t>
  </si>
  <si>
    <t>Extralimitación de funciones y falta de controles para asegurar el correcto uso de los equipos y elementos de las áreas Culturales, artísticas y deportivas</t>
  </si>
  <si>
    <t>Emitir un recibido a satisfacción de un bien y/o un servicio sin el cumplimiento de las condiciones pactadas para un beneficio particular</t>
  </si>
  <si>
    <t>debido al tráfico de influencia, Amiguismo, clientelismo y/o soborno</t>
  </si>
  <si>
    <t>Posibilidad de afectación reputacional por adelantar tramites que beneficien  a su solicitante (estudiantes, docentes y administrativos) sin el cumplimento de los requisitos establecidos para ello, por   tráfico de influencia, Amiguismo y/o  clientelismo</t>
  </si>
  <si>
    <t>Posibilidad de afectación Económico y Reputacional  por la apropiación, uso o aplicación indebida de los equipos y elementos de las áreas Culturales, artísticas y deportivas,  por parte de los funcionarios públicos encargados de su administración, manejo y/o custodia, en beneficio propio, favorecimiento a terceros o asuntos no institucionales por Extralimitación de funciones y falta de controles para asegurar el correcto uso de los equipos y elementos de las áreas Culturales, artísticas y deportivas</t>
  </si>
  <si>
    <t>Posibilidad de afectación Económico y Reputacional  por la emisión de recibido a satisfacción de un bien y/o un servicio sin el cumplimiento de las condiciones pactadas para un beneficio particular ,debido al tráfico de influencia, Amiguismo, clientelismo y/o soborno</t>
  </si>
  <si>
    <t>Revisión del cumplimiento de los requisitos en las solicitudes, inicialmente por la profesional responsable del área</t>
  </si>
  <si>
    <t xml:space="preserve"> Lista de Chequeo en formato FGBI-069    Formulario de Inscripción a los servicios de Promoción Social, firmado por el estudiante y el profesional responsable del área</t>
  </si>
  <si>
    <t xml:space="preserve">Verificación del cumplimiento de requisitos de los solcitantes y selección de los beneficiados por el comité de Bienestar </t>
  </si>
  <si>
    <t>Acta de Comité de Bienestar</t>
  </si>
  <si>
    <t>En caso de materializarse el riesgo, se le suspende el servicio al estudiante y se traslada informe del caso a control interno</t>
  </si>
  <si>
    <t>Informe enviado por correo electronico a control interno</t>
  </si>
  <si>
    <t xml:space="preserve">Para el área de deportes: se tramita el formato FGBI- 088 FORMATO DE ENTREGA DE IMPLEMENTOS DEPORTIVOS, una vez finalizado el semestre se tramita el  formato FGFI-097 FORMATO DE SOLICITUD DE DESCARGA DE BIENES.                      Para el Área de Cultura: Se diligenciara formato para entrega de elementos e instrumentos a los instructores del área y se llevara el inventario semestral                </t>
  </si>
  <si>
    <t>En caso de materializarse el riesgo, se traslada informe de la situación a almacen cuando se de la perdida del activo y a control interno en los casos que solo se tenga que reportar la salida no autorizada de los activos del área.</t>
  </si>
  <si>
    <t>Informe que se remite a almacen y a control interno</t>
  </si>
  <si>
    <t>Cada profesional de área elabora los informes preliminares de cada contrato para la elaboación final de los informes de interventoria de los contratos</t>
  </si>
  <si>
    <t>Informes preliminares de cada contrato por área</t>
  </si>
  <si>
    <t xml:space="preserve">Cuando se materializa el riesgo se notifica  ala oficina d control interno </t>
  </si>
  <si>
    <t>Notificación escreita a control interno</t>
  </si>
  <si>
    <r>
      <t xml:space="preserve">Formatos:     FGBI-088     FGFI-097       </t>
    </r>
    <r>
      <rPr>
        <sz val="10"/>
        <rFont val="Arial Narrow"/>
        <family val="2"/>
      </rPr>
      <t>Nuevo Formato de cultura   Inventario de</t>
    </r>
    <r>
      <rPr>
        <sz val="10"/>
        <color theme="1"/>
        <rFont val="Arial Narrow"/>
        <family val="2"/>
      </rPr>
      <t xml:space="preserve"> cultura</t>
    </r>
  </si>
  <si>
    <t>El mejoramiento de la salud física, mental, espiritual, social y familiar de estudiantes, servidores públicos docentes y no docentes, para contribuir a su formación integral, calidad de vida, construcción de comunidad y clima institucional, a través del desarrollo de programas de Bienestar Institucional, eficaces, eficientes y pertinentes.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</si>
</sst>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1"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4"/>
      <color theme="1"/>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b/>
      <sz val="14"/>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sz val="10"/>
      <color theme="9" tint="-0.249977111117893"/>
      <name val="Arial Narrow"/>
      <family val="2"/>
    </font>
    <font>
      <sz val="11"/>
      <color theme="9" tint="-0.249977111117893"/>
      <name val="Arial Narrow"/>
      <family val="2"/>
    </font>
    <font>
      <sz val="11"/>
      <color theme="1"/>
      <name val="Tahoma"/>
      <family val="2"/>
    </font>
    <font>
      <b/>
      <sz val="11"/>
      <color theme="1"/>
      <name val="Tahoma"/>
      <family val="2"/>
    </font>
    <font>
      <b/>
      <sz val="14"/>
      <color theme="1"/>
      <name val="Tahoma"/>
      <family val="2"/>
    </font>
    <font>
      <b/>
      <sz val="28"/>
      <color theme="1"/>
      <name val="Tahoma"/>
      <family val="2"/>
    </font>
    <font>
      <sz val="22"/>
      <color theme="1"/>
      <name val="Tahoma"/>
      <family val="2"/>
    </font>
    <font>
      <b/>
      <sz val="18"/>
      <color theme="1"/>
      <name val="Tahoma"/>
      <family val="2"/>
    </font>
    <font>
      <sz val="8"/>
      <name val="Calibri"/>
      <family val="2"/>
      <scheme val="minor"/>
    </font>
    <font>
      <sz val="9"/>
      <color indexed="81"/>
      <name val="Tahoma"/>
      <family val="2"/>
    </font>
    <font>
      <b/>
      <sz val="9"/>
      <color indexed="81"/>
      <name val="Tahoma"/>
      <family val="2"/>
    </font>
    <font>
      <b/>
      <sz val="16"/>
      <color theme="1"/>
      <name val="Tahoma"/>
      <family val="2"/>
    </font>
    <font>
      <b/>
      <sz val="12"/>
      <color theme="1"/>
      <name val="Tahoma"/>
      <family val="2"/>
    </font>
    <font>
      <b/>
      <sz val="24"/>
      <color theme="1"/>
      <name val="Tahoma"/>
      <family val="2"/>
    </font>
    <font>
      <b/>
      <sz val="22"/>
      <color theme="1"/>
      <name val="Tahoma"/>
      <family val="2"/>
    </font>
    <font>
      <b/>
      <sz val="10"/>
      <color theme="1"/>
      <name val="Tahoma"/>
      <family val="2"/>
    </font>
    <font>
      <sz val="10"/>
      <color theme="1"/>
      <name val="Tahoma"/>
      <family val="2"/>
    </font>
    <font>
      <b/>
      <sz val="9"/>
      <color theme="1"/>
      <name val="Tahoma"/>
      <family val="2"/>
    </font>
    <font>
      <sz val="9"/>
      <color theme="1"/>
      <name val="Tahoma"/>
      <family val="2"/>
    </font>
  </fonts>
  <fills count="24">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rgb="FFEAEAEA"/>
        <bgColor indexed="64"/>
      </patternFill>
    </fill>
  </fills>
  <borders count="78">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rgb="FFF79646"/>
      </left>
      <right/>
      <top style="dotted">
        <color rgb="FFF79646"/>
      </top>
      <bottom style="dotted">
        <color rgb="FFF79646"/>
      </bottom>
      <diagonal/>
    </border>
    <border>
      <left/>
      <right style="dotted">
        <color rgb="FFF79646"/>
      </right>
      <top style="dotted">
        <color rgb="FFF79646"/>
      </top>
      <bottom style="dotted">
        <color rgb="FFF79646"/>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9" fontId="15" fillId="0" borderId="0" applyFont="0" applyFill="0" applyBorder="0" applyAlignment="0" applyProtection="0"/>
    <xf numFmtId="0" fontId="42" fillId="0" borderId="0"/>
    <xf numFmtId="0" fontId="43" fillId="0" borderId="0"/>
    <xf numFmtId="0" fontId="5" fillId="0" borderId="0"/>
  </cellStyleXfs>
  <cellXfs count="380">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9" fillId="0" borderId="0" xfId="0" applyFont="1" applyAlignment="1">
      <alignment horizontal="center" vertical="center" wrapText="1"/>
    </xf>
    <xf numFmtId="0" fontId="10" fillId="6" borderId="0" xfId="0" applyFont="1" applyFill="1" applyAlignment="1">
      <alignment horizontal="center" vertical="center" wrapText="1" readingOrder="1"/>
    </xf>
    <xf numFmtId="0" fontId="11" fillId="5" borderId="2" xfId="0" applyFont="1" applyFill="1" applyBorder="1" applyAlignment="1">
      <alignment horizontal="center" vertical="center" wrapText="1" readingOrder="1"/>
    </xf>
    <xf numFmtId="0" fontId="11" fillId="0" borderId="2" xfId="0" applyFont="1" applyBorder="1" applyAlignment="1">
      <alignment horizontal="justify" vertical="center" wrapText="1" readingOrder="1"/>
    </xf>
    <xf numFmtId="9" fontId="11" fillId="0" borderId="2" xfId="0" applyNumberFormat="1" applyFont="1" applyBorder="1" applyAlignment="1">
      <alignment horizontal="center" vertical="center" wrapText="1" readingOrder="1"/>
    </xf>
    <xf numFmtId="0" fontId="11" fillId="7" borderId="1" xfId="0" applyFont="1" applyFill="1" applyBorder="1" applyAlignment="1">
      <alignment horizontal="center" vertical="center" wrapText="1" readingOrder="1"/>
    </xf>
    <xf numFmtId="0" fontId="11" fillId="0" borderId="1" xfId="0" applyFont="1" applyBorder="1" applyAlignment="1">
      <alignment horizontal="justify" vertical="center" wrapText="1" readingOrder="1"/>
    </xf>
    <xf numFmtId="9" fontId="11" fillId="0" borderId="1" xfId="0" applyNumberFormat="1" applyFont="1" applyBorder="1" applyAlignment="1">
      <alignment horizontal="center" vertical="center" wrapText="1" readingOrder="1"/>
    </xf>
    <xf numFmtId="0" fontId="11" fillId="4" borderId="1" xfId="0" applyFont="1" applyFill="1" applyBorder="1" applyAlignment="1">
      <alignment horizontal="center" vertical="center" wrapText="1" readingOrder="1"/>
    </xf>
    <xf numFmtId="0" fontId="11" fillId="8" borderId="1" xfId="0" applyFont="1" applyFill="1" applyBorder="1" applyAlignment="1">
      <alignment horizontal="center" vertical="center" wrapText="1" readingOrder="1"/>
    </xf>
    <xf numFmtId="0" fontId="12" fillId="9" borderId="1" xfId="0" applyFont="1" applyFill="1" applyBorder="1" applyAlignment="1">
      <alignment horizontal="center" vertical="center" wrapText="1" readingOrder="1"/>
    </xf>
    <xf numFmtId="0" fontId="16" fillId="0" borderId="0" xfId="0" applyFont="1"/>
    <xf numFmtId="0" fontId="14" fillId="0" borderId="0" xfId="0" applyFont="1"/>
    <xf numFmtId="0" fontId="4" fillId="3" borderId="0" xfId="0" applyFont="1" applyFill="1" applyAlignment="1">
      <alignment horizontal="center" vertical="center"/>
    </xf>
    <xf numFmtId="0" fontId="1" fillId="3" borderId="0" xfId="0" applyFont="1" applyFill="1" applyAlignment="1">
      <alignment vertical="center"/>
    </xf>
    <xf numFmtId="0" fontId="26" fillId="0" borderId="0" xfId="0" applyFont="1" applyAlignment="1">
      <alignment vertical="center"/>
    </xf>
    <xf numFmtId="0" fontId="27" fillId="0" borderId="0" xfId="0" applyFont="1"/>
    <xf numFmtId="0" fontId="25" fillId="0" borderId="0" xfId="0" applyFont="1"/>
    <xf numFmtId="0" fontId="0" fillId="0" borderId="0" xfId="0" pivotButton="1"/>
    <xf numFmtId="0" fontId="13" fillId="0" borderId="0" xfId="0" applyFont="1" applyAlignment="1">
      <alignment horizontal="justify" vertical="center" wrapText="1" readingOrder="1"/>
    </xf>
    <xf numFmtId="0" fontId="28" fillId="0" borderId="0" xfId="0" applyFont="1"/>
    <xf numFmtId="0" fontId="30" fillId="6" borderId="0" xfId="0" applyFont="1" applyFill="1" applyAlignment="1">
      <alignment horizontal="center" vertical="center" wrapText="1" readingOrder="1"/>
    </xf>
    <xf numFmtId="0" fontId="31" fillId="5" borderId="2" xfId="0" applyFont="1" applyFill="1" applyBorder="1" applyAlignment="1">
      <alignment horizontal="center" vertical="center" wrapText="1" readingOrder="1"/>
    </xf>
    <xf numFmtId="0" fontId="31" fillId="7" borderId="1" xfId="0" applyFont="1" applyFill="1" applyBorder="1" applyAlignment="1">
      <alignment horizontal="center" vertical="center" wrapText="1" readingOrder="1"/>
    </xf>
    <xf numFmtId="0" fontId="31" fillId="4" borderId="1" xfId="0" applyFont="1" applyFill="1" applyBorder="1" applyAlignment="1">
      <alignment horizontal="center" vertical="center" wrapText="1" readingOrder="1"/>
    </xf>
    <xf numFmtId="0" fontId="31" fillId="8" borderId="1" xfId="0" applyFont="1" applyFill="1" applyBorder="1" applyAlignment="1">
      <alignment horizontal="center" vertical="center" wrapText="1" readingOrder="1"/>
    </xf>
    <xf numFmtId="0" fontId="32" fillId="9" borderId="1" xfId="0" applyFont="1" applyFill="1" applyBorder="1" applyAlignment="1">
      <alignment horizontal="center" vertical="center" wrapText="1" readingOrder="1"/>
    </xf>
    <xf numFmtId="0" fontId="31" fillId="0" borderId="2" xfId="0" applyFont="1" applyBorder="1" applyAlignment="1">
      <alignment horizontal="center" vertical="center" wrapText="1" readingOrder="1"/>
    </xf>
    <xf numFmtId="0" fontId="31" fillId="0" borderId="1" xfId="0" applyFont="1" applyBorder="1" applyAlignment="1">
      <alignment horizontal="center" vertical="center" wrapText="1" readingOrder="1"/>
    </xf>
    <xf numFmtId="0" fontId="0" fillId="3" borderId="0" xfId="0" applyFill="1"/>
    <xf numFmtId="0" fontId="44" fillId="3" borderId="37" xfId="2" applyFont="1" applyFill="1" applyBorder="1"/>
    <xf numFmtId="0" fontId="44" fillId="3" borderId="38" xfId="2" applyFont="1" applyFill="1" applyBorder="1"/>
    <xf numFmtId="0" fontId="44" fillId="3" borderId="39" xfId="2" applyFont="1" applyFill="1" applyBorder="1"/>
    <xf numFmtId="0" fontId="17" fillId="3" borderId="0" xfId="0" applyFont="1" applyFill="1" applyAlignment="1">
      <alignment vertical="center"/>
    </xf>
    <xf numFmtId="0" fontId="5" fillId="3" borderId="0" xfId="0" applyFont="1" applyFill="1"/>
    <xf numFmtId="0" fontId="34" fillId="3" borderId="0" xfId="0" applyFont="1" applyFill="1"/>
    <xf numFmtId="0" fontId="35" fillId="3" borderId="20" xfId="0" applyFont="1" applyFill="1" applyBorder="1" applyAlignment="1">
      <alignment horizontal="center" vertical="center" wrapText="1" readingOrder="1"/>
    </xf>
    <xf numFmtId="0" fontId="36" fillId="3" borderId="20" xfId="0" applyFont="1" applyFill="1" applyBorder="1" applyAlignment="1">
      <alignment horizontal="justify" vertical="center" wrapText="1" readingOrder="1"/>
    </xf>
    <xf numFmtId="9" fontId="35" fillId="3" borderId="29" xfId="0" applyNumberFormat="1" applyFont="1" applyFill="1" applyBorder="1" applyAlignment="1">
      <alignment horizontal="center" vertical="center" wrapText="1" readingOrder="1"/>
    </xf>
    <xf numFmtId="0" fontId="35" fillId="3" borderId="19" xfId="0" applyFont="1" applyFill="1" applyBorder="1" applyAlignment="1">
      <alignment horizontal="center" vertical="center" wrapText="1" readingOrder="1"/>
    </xf>
    <xf numFmtId="0" fontId="36" fillId="3" borderId="19" xfId="0" applyFont="1" applyFill="1" applyBorder="1" applyAlignment="1">
      <alignment horizontal="justify" vertical="center" wrapText="1" readingOrder="1"/>
    </xf>
    <xf numFmtId="9" fontId="35" fillId="3" borderId="24" xfId="0" applyNumberFormat="1" applyFont="1" applyFill="1" applyBorder="1" applyAlignment="1">
      <alignment horizontal="center" vertical="center" wrapText="1" readingOrder="1"/>
    </xf>
    <xf numFmtId="0" fontId="36" fillId="3" borderId="24" xfId="0" applyFont="1" applyFill="1" applyBorder="1" applyAlignment="1">
      <alignment horizontal="center" vertical="center" wrapText="1" readingOrder="1"/>
    </xf>
    <xf numFmtId="0" fontId="35" fillId="3" borderId="26" xfId="0" applyFont="1" applyFill="1" applyBorder="1" applyAlignment="1">
      <alignment horizontal="center" vertical="center" wrapText="1" readingOrder="1"/>
    </xf>
    <xf numFmtId="0" fontId="36" fillId="3" borderId="26" xfId="0" applyFont="1" applyFill="1" applyBorder="1" applyAlignment="1">
      <alignment horizontal="justify" vertical="center" wrapText="1" readingOrder="1"/>
    </xf>
    <xf numFmtId="0" fontId="36" fillId="3" borderId="27" xfId="0" applyFont="1" applyFill="1" applyBorder="1" applyAlignment="1">
      <alignment horizontal="center" vertical="center" wrapText="1" readingOrder="1"/>
    </xf>
    <xf numFmtId="0" fontId="41" fillId="3" borderId="0" xfId="0" applyFont="1" applyFill="1"/>
    <xf numFmtId="0" fontId="35" fillId="15" borderId="31" xfId="0" applyFont="1" applyFill="1" applyBorder="1" applyAlignment="1">
      <alignment horizontal="center" vertical="center" wrapText="1" readingOrder="1"/>
    </xf>
    <xf numFmtId="0" fontId="35" fillId="15" borderId="32" xfId="0" applyFont="1" applyFill="1" applyBorder="1" applyAlignment="1">
      <alignment horizontal="center" vertical="center" wrapText="1" readingOrder="1"/>
    </xf>
    <xf numFmtId="0" fontId="14" fillId="3" borderId="0" xfId="0" applyFont="1" applyFill="1"/>
    <xf numFmtId="0" fontId="29" fillId="3" borderId="0" xfId="0" applyFont="1" applyFill="1" applyAlignment="1">
      <alignment horizontal="center" vertical="center" wrapText="1"/>
    </xf>
    <xf numFmtId="0" fontId="13" fillId="3" borderId="0" xfId="0" applyFont="1" applyFill="1" applyAlignment="1">
      <alignment horizontal="justify" vertical="center" wrapText="1" readingOrder="1"/>
    </xf>
    <xf numFmtId="0" fontId="4" fillId="3" borderId="0" xfId="0" applyFont="1" applyFill="1" applyAlignment="1">
      <alignment vertical="center"/>
    </xf>
    <xf numFmtId="0" fontId="16" fillId="3" borderId="0" xfId="0" applyFont="1" applyFill="1"/>
    <xf numFmtId="0" fontId="4" fillId="3" borderId="0" xfId="0" applyFont="1" applyFill="1" applyAlignment="1">
      <alignment horizontal="left" vertical="center"/>
    </xf>
    <xf numFmtId="0" fontId="44" fillId="3" borderId="5" xfId="2" applyFont="1" applyFill="1" applyBorder="1"/>
    <xf numFmtId="0" fontId="49" fillId="3" borderId="0" xfId="0" applyFont="1" applyFill="1" applyAlignment="1">
      <alignment horizontal="left" vertical="center" wrapText="1"/>
    </xf>
    <xf numFmtId="0" fontId="50" fillId="3" borderId="0" xfId="0" applyFont="1" applyFill="1" applyAlignment="1">
      <alignment horizontal="left" vertical="top" wrapText="1"/>
    </xf>
    <xf numFmtId="0" fontId="44" fillId="3" borderId="0" xfId="2" applyFont="1" applyFill="1"/>
    <xf numFmtId="0" fontId="44" fillId="3" borderId="6" xfId="2" applyFont="1" applyFill="1" applyBorder="1"/>
    <xf numFmtId="0" fontId="44" fillId="3" borderId="7" xfId="2" applyFont="1" applyFill="1" applyBorder="1"/>
    <xf numFmtId="0" fontId="44" fillId="3" borderId="9" xfId="2" applyFont="1" applyFill="1" applyBorder="1"/>
    <xf numFmtId="0" fontId="44" fillId="3" borderId="8" xfId="2" applyFont="1" applyFill="1" applyBorder="1"/>
    <xf numFmtId="0" fontId="48" fillId="3" borderId="0" xfId="2" applyFont="1" applyFill="1" applyAlignment="1">
      <alignment horizontal="left" vertical="center" wrapText="1"/>
    </xf>
    <xf numFmtId="0" fontId="44" fillId="3" borderId="0" xfId="2" applyFont="1" applyFill="1" applyAlignment="1">
      <alignment horizontal="left" vertical="center" wrapText="1"/>
    </xf>
    <xf numFmtId="0" fontId="44" fillId="3" borderId="0" xfId="2" quotePrefix="1" applyFont="1" applyFill="1" applyAlignment="1">
      <alignment horizontal="left" vertical="center" wrapText="1"/>
    </xf>
    <xf numFmtId="0" fontId="46" fillId="3" borderId="5" xfId="2" quotePrefix="1" applyFont="1" applyFill="1" applyBorder="1" applyAlignment="1">
      <alignment horizontal="left" vertical="top" wrapText="1"/>
    </xf>
    <xf numFmtId="0" fontId="47" fillId="3" borderId="0" xfId="2" quotePrefix="1" applyFont="1" applyFill="1" applyAlignment="1">
      <alignment horizontal="left" vertical="top" wrapText="1"/>
    </xf>
    <xf numFmtId="0" fontId="47" fillId="3" borderId="6" xfId="2" quotePrefix="1" applyFont="1" applyFill="1" applyBorder="1" applyAlignment="1">
      <alignment horizontal="left" vertical="top" wrapText="1"/>
    </xf>
    <xf numFmtId="0" fontId="56" fillId="3" borderId="62" xfId="0" applyFont="1" applyFill="1" applyBorder="1" applyAlignment="1">
      <alignment horizontal="center" vertical="center"/>
    </xf>
    <xf numFmtId="0" fontId="0" fillId="3" borderId="0" xfId="0" applyFill="1" applyAlignment="1">
      <alignment horizontal="center"/>
    </xf>
    <xf numFmtId="0" fontId="56" fillId="3" borderId="0" xfId="0" applyFont="1" applyFill="1" applyAlignment="1">
      <alignment horizontal="center" vertical="center"/>
    </xf>
    <xf numFmtId="0" fontId="55" fillId="3" borderId="0" xfId="0" applyFont="1" applyFill="1" applyAlignment="1">
      <alignment horizontal="center" vertical="center"/>
    </xf>
    <xf numFmtId="9" fontId="1" fillId="0" borderId="19" xfId="0" applyNumberFormat="1" applyFont="1" applyBorder="1" applyAlignment="1" applyProtection="1">
      <alignment vertical="center" wrapText="1"/>
      <protection hidden="1"/>
    </xf>
    <xf numFmtId="0" fontId="4" fillId="0" borderId="38" xfId="0" applyFont="1" applyBorder="1" applyAlignment="1">
      <alignment vertical="center"/>
    </xf>
    <xf numFmtId="0" fontId="4" fillId="0" borderId="0" xfId="0" applyFont="1" applyAlignment="1">
      <alignment vertical="center"/>
    </xf>
    <xf numFmtId="0" fontId="0" fillId="0" borderId="0" xfId="0" applyAlignment="1">
      <alignment wrapText="1"/>
    </xf>
    <xf numFmtId="0" fontId="0" fillId="0" borderId="0" xfId="0" applyAlignment="1">
      <alignment textRotation="90"/>
    </xf>
    <xf numFmtId="0" fontId="0" fillId="0" borderId="0" xfId="0" applyAlignment="1">
      <alignment horizontal="center" wrapText="1"/>
    </xf>
    <xf numFmtId="0" fontId="4" fillId="0" borderId="76" xfId="0" applyFont="1" applyBorder="1" applyAlignment="1" applyProtection="1">
      <alignment horizontal="center" vertical="center"/>
      <protection hidden="1"/>
    </xf>
    <xf numFmtId="0" fontId="55" fillId="3" borderId="0" xfId="0" applyFont="1" applyFill="1" applyAlignment="1">
      <alignment horizontal="center" vertical="center" wrapText="1"/>
    </xf>
    <xf numFmtId="0" fontId="0" fillId="3" borderId="0" xfId="0" applyFill="1" applyAlignment="1">
      <alignment horizontal="center" wrapText="1"/>
    </xf>
    <xf numFmtId="0" fontId="1" fillId="23" borderId="20" xfId="0" applyFont="1" applyFill="1" applyBorder="1" applyAlignment="1" applyProtection="1">
      <alignment horizontal="center" vertical="center"/>
      <protection hidden="1"/>
    </xf>
    <xf numFmtId="0" fontId="1" fillId="23" borderId="29" xfId="0" applyFont="1" applyFill="1" applyBorder="1" applyAlignment="1" applyProtection="1">
      <alignment horizontal="center" vertical="center" textRotation="90"/>
      <protection hidden="1"/>
    </xf>
    <xf numFmtId="164" fontId="1" fillId="23" borderId="70" xfId="1" applyNumberFormat="1" applyFont="1" applyFill="1" applyBorder="1" applyAlignment="1" applyProtection="1">
      <alignment horizontal="center" vertical="center"/>
      <protection hidden="1"/>
    </xf>
    <xf numFmtId="0" fontId="1" fillId="23" borderId="20" xfId="0" applyFont="1" applyFill="1" applyBorder="1" applyAlignment="1" applyProtection="1">
      <alignment horizontal="center" vertical="center" textRotation="90"/>
      <protection hidden="1"/>
    </xf>
    <xf numFmtId="0" fontId="1" fillId="23" borderId="19" xfId="0" applyFont="1" applyFill="1" applyBorder="1" applyAlignment="1" applyProtection="1">
      <alignment horizontal="center" vertical="center"/>
      <protection hidden="1"/>
    </xf>
    <xf numFmtId="0" fontId="1" fillId="23" borderId="24" xfId="0" applyFont="1" applyFill="1" applyBorder="1" applyAlignment="1" applyProtection="1">
      <alignment horizontal="center" vertical="center" textRotation="90"/>
      <protection hidden="1"/>
    </xf>
    <xf numFmtId="164" fontId="1" fillId="23" borderId="64" xfId="1" applyNumberFormat="1" applyFont="1" applyFill="1" applyBorder="1" applyAlignment="1" applyProtection="1">
      <alignment horizontal="center" vertical="center"/>
      <protection hidden="1"/>
    </xf>
    <xf numFmtId="0" fontId="1" fillId="23" borderId="19" xfId="0" applyFont="1" applyFill="1" applyBorder="1" applyAlignment="1" applyProtection="1">
      <alignment horizontal="center" vertical="center" textRotation="90"/>
      <protection hidden="1"/>
    </xf>
    <xf numFmtId="0" fontId="1" fillId="23" borderId="26" xfId="0" applyFont="1" applyFill="1" applyBorder="1" applyAlignment="1" applyProtection="1">
      <alignment horizontal="center" vertical="center"/>
      <protection hidden="1"/>
    </xf>
    <xf numFmtId="0" fontId="1" fillId="23" borderId="27" xfId="0" applyFont="1" applyFill="1" applyBorder="1" applyAlignment="1" applyProtection="1">
      <alignment horizontal="center" vertical="center" textRotation="90"/>
      <protection hidden="1"/>
    </xf>
    <xf numFmtId="0" fontId="1" fillId="23" borderId="26" xfId="0" applyFont="1" applyFill="1" applyBorder="1" applyAlignment="1" applyProtection="1">
      <alignment horizontal="center" vertical="center" textRotation="90"/>
      <protection hidden="1"/>
    </xf>
    <xf numFmtId="0" fontId="0" fillId="23" borderId="28" xfId="0" applyFill="1" applyBorder="1" applyAlignment="1" applyProtection="1">
      <alignment horizontal="center" vertical="center" wrapText="1"/>
      <protection locked="0" hidden="1"/>
    </xf>
    <xf numFmtId="0" fontId="0" fillId="23" borderId="55" xfId="0" applyFill="1" applyBorder="1" applyAlignment="1" applyProtection="1">
      <alignment horizontal="center" vertical="center" textRotation="90" wrapText="1"/>
      <protection hidden="1"/>
    </xf>
    <xf numFmtId="0" fontId="1" fillId="23" borderId="28" xfId="0" applyFont="1" applyFill="1" applyBorder="1" applyAlignment="1" applyProtection="1">
      <alignment horizontal="center" vertical="center"/>
      <protection hidden="1"/>
    </xf>
    <xf numFmtId="0" fontId="1" fillId="0" borderId="69" xfId="0" applyFont="1" applyBorder="1" applyAlignment="1" applyProtection="1">
      <alignment horizontal="center" vertical="center" textRotation="90"/>
      <protection locked="0" hidden="1"/>
    </xf>
    <xf numFmtId="0" fontId="0" fillId="23" borderId="23" xfId="0" applyFill="1" applyBorder="1" applyAlignment="1" applyProtection="1">
      <alignment horizontal="center" vertical="center" wrapText="1"/>
      <protection locked="0" hidden="1"/>
    </xf>
    <xf numFmtId="0" fontId="0" fillId="23" borderId="19" xfId="0" applyFill="1" applyBorder="1" applyAlignment="1" applyProtection="1">
      <alignment vertical="center" wrapText="1"/>
      <protection hidden="1"/>
    </xf>
    <xf numFmtId="0" fontId="0" fillId="23" borderId="63" xfId="0" applyFill="1" applyBorder="1" applyAlignment="1" applyProtection="1">
      <alignment horizontal="center" vertical="center" textRotation="90" wrapText="1"/>
      <protection hidden="1"/>
    </xf>
    <xf numFmtId="0" fontId="1" fillId="23" borderId="23" xfId="0" applyFont="1" applyFill="1" applyBorder="1" applyAlignment="1" applyProtection="1">
      <alignment horizontal="center" vertical="center"/>
      <protection hidden="1"/>
    </xf>
    <xf numFmtId="0" fontId="6" fillId="0" borderId="19" xfId="0" applyFont="1" applyBorder="1" applyAlignment="1" applyProtection="1">
      <alignment horizontal="center" vertical="center" wrapText="1"/>
      <protection locked="0" hidden="1"/>
    </xf>
    <xf numFmtId="0" fontId="1" fillId="0" borderId="19" xfId="0" applyFont="1" applyBorder="1" applyAlignment="1" applyProtection="1">
      <alignment horizontal="center" vertical="center" textRotation="90"/>
      <protection locked="0" hidden="1"/>
    </xf>
    <xf numFmtId="0" fontId="1" fillId="0" borderId="62" xfId="0" applyFont="1" applyBorder="1" applyAlignment="1" applyProtection="1">
      <alignment horizontal="center" vertical="center" textRotation="90"/>
      <protection locked="0" hidden="1"/>
    </xf>
    <xf numFmtId="0" fontId="0" fillId="23" borderId="25" xfId="0" applyFill="1" applyBorder="1" applyAlignment="1" applyProtection="1">
      <alignment horizontal="center" vertical="center" wrapText="1"/>
      <protection locked="0" hidden="1"/>
    </xf>
    <xf numFmtId="0" fontId="1" fillId="23" borderId="25" xfId="0" applyFont="1" applyFill="1" applyBorder="1" applyAlignment="1" applyProtection="1">
      <alignment horizontal="center" vertical="center"/>
      <protection hidden="1"/>
    </xf>
    <xf numFmtId="0" fontId="6" fillId="0" borderId="26" xfId="0" applyFont="1" applyBorder="1" applyAlignment="1" applyProtection="1">
      <alignment horizontal="center" vertical="center" wrapText="1"/>
      <protection locked="0" hidden="1"/>
    </xf>
    <xf numFmtId="0" fontId="1" fillId="0" borderId="26" xfId="0" applyFont="1" applyBorder="1" applyAlignment="1" applyProtection="1">
      <alignment horizontal="center" vertical="center" textRotation="90"/>
      <protection locked="0" hidden="1"/>
    </xf>
    <xf numFmtId="0" fontId="1" fillId="0" borderId="75" xfId="0" applyFont="1" applyBorder="1" applyAlignment="1" applyProtection="1">
      <alignment horizontal="center" vertical="center" textRotation="90"/>
      <protection locked="0" hidden="1"/>
    </xf>
    <xf numFmtId="0" fontId="1" fillId="0" borderId="23" xfId="0" applyFont="1" applyBorder="1" applyAlignment="1" applyProtection="1">
      <alignment horizontal="center" vertical="center"/>
      <protection hidden="1"/>
    </xf>
    <xf numFmtId="0" fontId="1" fillId="0" borderId="19" xfId="0" applyFont="1" applyBorder="1" applyAlignment="1" applyProtection="1">
      <alignment horizontal="center" vertical="center" wrapText="1"/>
      <protection locked="0" hidden="1"/>
    </xf>
    <xf numFmtId="0" fontId="2" fillId="0" borderId="19" xfId="0" applyFont="1" applyBorder="1" applyAlignment="1" applyProtection="1">
      <alignment horizontal="center" vertical="center" wrapText="1"/>
      <protection locked="0" hidden="1"/>
    </xf>
    <xf numFmtId="0" fontId="1" fillId="0" borderId="62" xfId="0" applyFont="1" applyBorder="1" applyAlignment="1" applyProtection="1">
      <alignment horizontal="center" vertical="center" wrapText="1"/>
      <protection locked="0" hidden="1"/>
    </xf>
    <xf numFmtId="0" fontId="1" fillId="0" borderId="23" xfId="0" applyFont="1" applyBorder="1" applyAlignment="1" applyProtection="1">
      <alignment horizontal="center" vertical="center"/>
      <protection locked="0" hidden="1"/>
    </xf>
    <xf numFmtId="9" fontId="1" fillId="0" borderId="23" xfId="0" applyNumberFormat="1" applyFont="1" applyBorder="1" applyAlignment="1" applyProtection="1">
      <alignment horizontal="center" vertical="center" wrapText="1"/>
      <protection locked="0" hidden="1"/>
    </xf>
    <xf numFmtId="0" fontId="4" fillId="23" borderId="19" xfId="0" applyFont="1" applyFill="1" applyBorder="1" applyAlignment="1" applyProtection="1">
      <alignment horizontal="center" vertical="center" wrapText="1"/>
      <protection hidden="1"/>
    </xf>
    <xf numFmtId="9" fontId="1" fillId="23" borderId="24" xfId="0" applyNumberFormat="1" applyFont="1" applyFill="1" applyBorder="1" applyAlignment="1" applyProtection="1">
      <alignment horizontal="center" vertical="center" wrapText="1"/>
      <protection hidden="1"/>
    </xf>
    <xf numFmtId="0" fontId="6" fillId="0" borderId="20" xfId="0" applyFont="1" applyBorder="1" applyAlignment="1" applyProtection="1">
      <alignment horizontal="center" vertical="center" wrapText="1"/>
      <protection locked="0" hidden="1"/>
    </xf>
    <xf numFmtId="0" fontId="4" fillId="19" borderId="77" xfId="0" applyFont="1" applyFill="1" applyBorder="1" applyAlignment="1">
      <alignment horizontal="center" vertical="center" textRotation="90"/>
    </xf>
    <xf numFmtId="0" fontId="4" fillId="19" borderId="77" xfId="0" applyFont="1" applyFill="1" applyBorder="1" applyAlignment="1">
      <alignment horizontal="center" vertical="center" textRotation="90" wrapText="1"/>
    </xf>
    <xf numFmtId="0" fontId="64" fillId="3" borderId="62" xfId="0" applyFont="1" applyFill="1" applyBorder="1" applyAlignment="1">
      <alignment horizontal="center" vertical="center"/>
    </xf>
    <xf numFmtId="0" fontId="5" fillId="23" borderId="20" xfId="0" applyFont="1" applyFill="1" applyBorder="1" applyAlignment="1" applyProtection="1">
      <alignment vertical="center" wrapText="1"/>
      <protection hidden="1"/>
    </xf>
    <xf numFmtId="0" fontId="5" fillId="23" borderId="19" xfId="0" applyFont="1" applyFill="1" applyBorder="1" applyAlignment="1" applyProtection="1">
      <alignment vertical="center" wrapText="1"/>
      <protection hidden="1"/>
    </xf>
    <xf numFmtId="0" fontId="0" fillId="3" borderId="61" xfId="0" applyFill="1" applyBorder="1" applyAlignment="1">
      <alignment horizontal="center"/>
    </xf>
    <xf numFmtId="0" fontId="0" fillId="3" borderId="20" xfId="0" applyFill="1" applyBorder="1" applyAlignment="1">
      <alignment horizontal="center"/>
    </xf>
    <xf numFmtId="0" fontId="55" fillId="3" borderId="61" xfId="0" applyFont="1" applyFill="1" applyBorder="1" applyAlignment="1">
      <alignment horizontal="center" vertical="center" wrapText="1"/>
    </xf>
    <xf numFmtId="0" fontId="55" fillId="3" borderId="20" xfId="0" applyFont="1" applyFill="1" applyBorder="1" applyAlignment="1">
      <alignment horizontal="center" vertical="center"/>
    </xf>
    <xf numFmtId="0" fontId="56" fillId="3" borderId="62" xfId="0" applyFont="1" applyFill="1" applyBorder="1" applyAlignment="1">
      <alignment horizontal="center" vertical="center"/>
    </xf>
    <xf numFmtId="0" fontId="56" fillId="3" borderId="63" xfId="0" applyFont="1" applyFill="1" applyBorder="1" applyAlignment="1">
      <alignment horizontal="center" vertical="center"/>
    </xf>
    <xf numFmtId="0" fontId="56" fillId="3" borderId="64" xfId="0" applyFont="1" applyFill="1" applyBorder="1" applyAlignment="1">
      <alignment horizontal="center" vertical="center"/>
    </xf>
    <xf numFmtId="0" fontId="45" fillId="14" borderId="34" xfId="2" applyFont="1" applyFill="1" applyBorder="1" applyAlignment="1">
      <alignment horizontal="center" vertical="center" wrapText="1"/>
    </xf>
    <xf numFmtId="0" fontId="45" fillId="14" borderId="35" xfId="2" applyFont="1" applyFill="1" applyBorder="1" applyAlignment="1">
      <alignment horizontal="center" vertical="center" wrapText="1"/>
    </xf>
    <xf numFmtId="0" fontId="45" fillId="14" borderId="36" xfId="2" applyFont="1" applyFill="1" applyBorder="1" applyAlignment="1">
      <alignment horizontal="center" vertical="center" wrapText="1"/>
    </xf>
    <xf numFmtId="0" fontId="44" fillId="0" borderId="5" xfId="2" quotePrefix="1" applyFont="1" applyBorder="1" applyAlignment="1">
      <alignment horizontal="left" vertical="center" wrapText="1"/>
    </xf>
    <xf numFmtId="0" fontId="44" fillId="0" borderId="0" xfId="2" quotePrefix="1" applyFont="1" applyAlignment="1">
      <alignment horizontal="left" vertical="center" wrapText="1"/>
    </xf>
    <xf numFmtId="0" fontId="44" fillId="0" borderId="6" xfId="2" quotePrefix="1" applyFont="1" applyBorder="1" applyAlignment="1">
      <alignment horizontal="left" vertical="center" wrapText="1"/>
    </xf>
    <xf numFmtId="0" fontId="44" fillId="0" borderId="54" xfId="2" quotePrefix="1" applyFont="1" applyBorder="1" applyAlignment="1">
      <alignment horizontal="left" vertical="center" wrapText="1"/>
    </xf>
    <xf numFmtId="0" fontId="44" fillId="0" borderId="55" xfId="2" quotePrefix="1" applyFont="1" applyBorder="1" applyAlignment="1">
      <alignment horizontal="left" vertical="center" wrapText="1"/>
    </xf>
    <xf numFmtId="0" fontId="44" fillId="0" borderId="56" xfId="2" quotePrefix="1" applyFont="1" applyBorder="1" applyAlignment="1">
      <alignment horizontal="left" vertical="center" wrapText="1"/>
    </xf>
    <xf numFmtId="0" fontId="46" fillId="3" borderId="37" xfId="2" quotePrefix="1" applyFont="1" applyFill="1" applyBorder="1" applyAlignment="1">
      <alignment horizontal="left" vertical="top" wrapText="1"/>
    </xf>
    <xf numFmtId="0" fontId="47" fillId="3" borderId="38" xfId="2" quotePrefix="1" applyFont="1" applyFill="1" applyBorder="1" applyAlignment="1">
      <alignment horizontal="left" vertical="top" wrapText="1"/>
    </xf>
    <xf numFmtId="0" fontId="47" fillId="3" borderId="39" xfId="2" quotePrefix="1" applyFont="1" applyFill="1" applyBorder="1" applyAlignment="1">
      <alignment horizontal="left" vertical="top" wrapText="1"/>
    </xf>
    <xf numFmtId="0" fontId="44" fillId="0" borderId="5" xfId="2" quotePrefix="1" applyFont="1" applyBorder="1" applyAlignment="1">
      <alignment horizontal="left" vertical="top" wrapText="1"/>
    </xf>
    <xf numFmtId="0" fontId="44" fillId="0" borderId="0" xfId="2" quotePrefix="1" applyFont="1" applyAlignment="1">
      <alignment horizontal="left" vertical="top" wrapText="1"/>
    </xf>
    <xf numFmtId="0" fontId="44" fillId="0" borderId="6" xfId="2" quotePrefix="1" applyFont="1" applyBorder="1" applyAlignment="1">
      <alignment horizontal="left" vertical="top" wrapText="1"/>
    </xf>
    <xf numFmtId="0" fontId="49" fillId="14" borderId="40" xfId="3" applyFont="1" applyFill="1" applyBorder="1" applyAlignment="1">
      <alignment horizontal="center" vertical="center" wrapText="1"/>
    </xf>
    <xf numFmtId="0" fontId="49" fillId="14" borderId="41" xfId="3" applyFont="1" applyFill="1" applyBorder="1" applyAlignment="1">
      <alignment horizontal="center" vertical="center" wrapText="1"/>
    </xf>
    <xf numFmtId="0" fontId="49" fillId="14" borderId="42" xfId="2" applyFont="1" applyFill="1" applyBorder="1" applyAlignment="1">
      <alignment horizontal="center" vertical="center"/>
    </xf>
    <xf numFmtId="0" fontId="49" fillId="14" borderId="43" xfId="2" applyFont="1" applyFill="1" applyBorder="1" applyAlignment="1">
      <alignment horizontal="center" vertical="center"/>
    </xf>
    <xf numFmtId="0" fontId="2" fillId="3" borderId="54" xfId="2" quotePrefix="1" applyFont="1" applyFill="1" applyBorder="1" applyAlignment="1">
      <alignment horizontal="justify" vertical="center" wrapText="1"/>
    </xf>
    <xf numFmtId="0" fontId="2" fillId="3" borderId="55" xfId="2" quotePrefix="1" applyFont="1" applyFill="1" applyBorder="1" applyAlignment="1">
      <alignment horizontal="justify" vertical="center" wrapText="1"/>
    </xf>
    <xf numFmtId="0" fontId="2" fillId="3" borderId="56" xfId="2" quotePrefix="1" applyFont="1" applyFill="1" applyBorder="1" applyAlignment="1">
      <alignment horizontal="justify" vertical="center" wrapText="1"/>
    </xf>
    <xf numFmtId="0" fontId="49" fillId="3" borderId="44" xfId="3" applyFont="1" applyFill="1" applyBorder="1" applyAlignment="1">
      <alignment horizontal="left" vertical="top" wrapText="1" readingOrder="1"/>
    </xf>
    <xf numFmtId="0" fontId="49" fillId="3" borderId="45" xfId="3" applyFont="1" applyFill="1" applyBorder="1" applyAlignment="1">
      <alignment horizontal="left" vertical="top" wrapText="1" readingOrder="1"/>
    </xf>
    <xf numFmtId="0" fontId="50" fillId="3" borderId="46" xfId="2" applyFont="1" applyFill="1" applyBorder="1" applyAlignment="1">
      <alignment horizontal="justify" vertical="center" wrapText="1"/>
    </xf>
    <xf numFmtId="0" fontId="50" fillId="3" borderId="47" xfId="2" applyFont="1" applyFill="1" applyBorder="1" applyAlignment="1">
      <alignment horizontal="justify" vertical="center" wrapText="1"/>
    </xf>
    <xf numFmtId="0" fontId="49" fillId="3" borderId="48" xfId="0" applyFont="1" applyFill="1" applyBorder="1" applyAlignment="1">
      <alignment horizontal="left" vertical="center" wrapText="1"/>
    </xf>
    <xf numFmtId="0" fontId="49" fillId="3" borderId="49" xfId="0" applyFont="1" applyFill="1" applyBorder="1" applyAlignment="1">
      <alignment horizontal="left" vertical="center" wrapText="1"/>
    </xf>
    <xf numFmtId="0" fontId="50" fillId="3" borderId="50" xfId="2" applyFont="1" applyFill="1" applyBorder="1" applyAlignment="1">
      <alignment horizontal="justify" vertical="center" wrapText="1"/>
    </xf>
    <xf numFmtId="0" fontId="50" fillId="3" borderId="51" xfId="2" applyFont="1" applyFill="1" applyBorder="1" applyAlignment="1">
      <alignment horizontal="justify" vertical="center" wrapText="1"/>
    </xf>
    <xf numFmtId="0" fontId="44" fillId="3" borderId="5" xfId="2" applyFont="1" applyFill="1" applyBorder="1" applyAlignment="1">
      <alignment horizontal="left" vertical="top" wrapText="1"/>
    </xf>
    <xf numFmtId="0" fontId="44" fillId="3" borderId="0" xfId="2" applyFont="1" applyFill="1" applyAlignment="1">
      <alignment horizontal="left" vertical="top" wrapText="1"/>
    </xf>
    <xf numFmtId="0" fontId="44" fillId="3" borderId="6" xfId="2" applyFont="1" applyFill="1" applyBorder="1" applyAlignment="1">
      <alignment horizontal="left" vertical="top" wrapText="1"/>
    </xf>
    <xf numFmtId="0" fontId="49" fillId="3" borderId="57" xfId="0" applyFont="1" applyFill="1" applyBorder="1" applyAlignment="1">
      <alignment horizontal="left" vertical="center" wrapText="1"/>
    </xf>
    <xf numFmtId="0" fontId="49" fillId="3" borderId="58" xfId="0" applyFont="1" applyFill="1" applyBorder="1" applyAlignment="1">
      <alignment horizontal="left" vertical="center" wrapText="1"/>
    </xf>
    <xf numFmtId="0" fontId="49" fillId="3" borderId="59" xfId="0" applyFont="1" applyFill="1" applyBorder="1" applyAlignment="1">
      <alignment horizontal="left" vertical="center" wrapText="1"/>
    </xf>
    <xf numFmtId="0" fontId="49" fillId="3" borderId="60" xfId="0" applyFont="1" applyFill="1" applyBorder="1" applyAlignment="1">
      <alignment horizontal="left" vertical="center" wrapText="1"/>
    </xf>
    <xf numFmtId="0" fontId="50" fillId="3" borderId="52" xfId="0" applyFont="1" applyFill="1" applyBorder="1" applyAlignment="1">
      <alignment horizontal="justify" vertical="center" wrapText="1"/>
    </xf>
    <xf numFmtId="0" fontId="50" fillId="3" borderId="53" xfId="0" applyFont="1" applyFill="1" applyBorder="1" applyAlignment="1">
      <alignment horizontal="justify" vertical="center" wrapText="1"/>
    </xf>
    <xf numFmtId="0" fontId="4" fillId="19" borderId="30" xfId="0" applyFont="1" applyFill="1" applyBorder="1" applyAlignment="1">
      <alignment horizontal="center" vertical="center"/>
    </xf>
    <xf numFmtId="0" fontId="4" fillId="19" borderId="31" xfId="0" applyFont="1" applyFill="1" applyBorder="1" applyAlignment="1">
      <alignment horizontal="center" vertical="center"/>
    </xf>
    <xf numFmtId="0" fontId="4" fillId="19" borderId="32" xfId="0" applyFont="1" applyFill="1" applyBorder="1" applyAlignment="1">
      <alignment horizontal="center" vertical="center"/>
    </xf>
    <xf numFmtId="0" fontId="64" fillId="3" borderId="62" xfId="0" applyFont="1" applyFill="1" applyBorder="1" applyAlignment="1">
      <alignment horizontal="center" vertical="center"/>
    </xf>
    <xf numFmtId="0" fontId="64" fillId="3" borderId="63" xfId="0" applyFont="1" applyFill="1" applyBorder="1" applyAlignment="1">
      <alignment horizontal="center" vertical="center"/>
    </xf>
    <xf numFmtId="0" fontId="64" fillId="3" borderId="64" xfId="0" applyFont="1" applyFill="1" applyBorder="1" applyAlignment="1">
      <alignment horizontal="center" vertical="center"/>
    </xf>
    <xf numFmtId="0" fontId="67" fillId="3" borderId="67" xfId="0" applyFont="1" applyFill="1" applyBorder="1" applyAlignment="1">
      <alignment horizontal="center" vertical="center" wrapText="1"/>
    </xf>
    <xf numFmtId="0" fontId="67" fillId="3" borderId="68" xfId="0" applyFont="1" applyFill="1" applyBorder="1" applyAlignment="1">
      <alignment horizontal="center" vertical="center" wrapText="1"/>
    </xf>
    <xf numFmtId="0" fontId="67" fillId="3" borderId="69" xfId="0" applyFont="1" applyFill="1" applyBorder="1" applyAlignment="1">
      <alignment horizontal="center" vertical="center" wrapText="1"/>
    </xf>
    <xf numFmtId="0" fontId="67" fillId="3" borderId="70" xfId="0" applyFont="1" applyFill="1" applyBorder="1" applyAlignment="1">
      <alignment horizontal="center" vertical="center" wrapText="1"/>
    </xf>
    <xf numFmtId="0" fontId="24" fillId="3" borderId="62" xfId="0" applyFont="1" applyFill="1" applyBorder="1" applyAlignment="1" applyProtection="1">
      <alignment horizontal="center" vertical="center"/>
      <protection locked="0"/>
    </xf>
    <xf numFmtId="0" fontId="24" fillId="3" borderId="63" xfId="0" applyFont="1" applyFill="1" applyBorder="1" applyAlignment="1" applyProtection="1">
      <alignment horizontal="center" vertical="center"/>
      <protection locked="0"/>
    </xf>
    <xf numFmtId="0" fontId="24" fillId="3" borderId="64" xfId="0" applyFont="1" applyFill="1" applyBorder="1" applyAlignment="1" applyProtection="1">
      <alignment horizontal="center" vertical="center"/>
      <protection locked="0"/>
    </xf>
    <xf numFmtId="14" fontId="8" fillId="3" borderId="19" xfId="0" applyNumberFormat="1" applyFont="1" applyFill="1" applyBorder="1" applyAlignment="1" applyProtection="1">
      <alignment horizontal="center" vertical="center"/>
      <protection locked="0"/>
    </xf>
    <xf numFmtId="0" fontId="8" fillId="3" borderId="19" xfId="0" applyFont="1" applyFill="1" applyBorder="1" applyAlignment="1" applyProtection="1">
      <alignment horizontal="center" vertical="center"/>
      <protection locked="0"/>
    </xf>
    <xf numFmtId="0" fontId="1" fillId="3" borderId="19" xfId="0" applyFont="1" applyFill="1" applyBorder="1" applyAlignment="1" applyProtection="1">
      <alignment horizontal="center" vertical="center" wrapText="1"/>
      <protection locked="0"/>
    </xf>
    <xf numFmtId="0" fontId="24" fillId="18" borderId="19" xfId="0" applyFont="1" applyFill="1" applyBorder="1" applyAlignment="1">
      <alignment horizontal="center" vertical="center"/>
    </xf>
    <xf numFmtId="0" fontId="0" fillId="3" borderId="62" xfId="0" applyFill="1" applyBorder="1" applyAlignment="1">
      <alignment horizontal="center"/>
    </xf>
    <xf numFmtId="0" fontId="0" fillId="3" borderId="63" xfId="0" applyFill="1" applyBorder="1" applyAlignment="1">
      <alignment horizontal="center"/>
    </xf>
    <xf numFmtId="0" fontId="0" fillId="3" borderId="64" xfId="0" applyFill="1" applyBorder="1" applyAlignment="1">
      <alignment horizontal="center"/>
    </xf>
    <xf numFmtId="0" fontId="0" fillId="3" borderId="67" xfId="0" applyFill="1" applyBorder="1" applyAlignment="1">
      <alignment horizontal="center"/>
    </xf>
    <xf numFmtId="0" fontId="0" fillId="3" borderId="68" xfId="0" applyFill="1" applyBorder="1" applyAlignment="1">
      <alignment horizontal="center"/>
    </xf>
    <xf numFmtId="0" fontId="0" fillId="3" borderId="69" xfId="0" applyFill="1" applyBorder="1" applyAlignment="1">
      <alignment horizontal="center"/>
    </xf>
    <xf numFmtId="0" fontId="0" fillId="3" borderId="70" xfId="0" applyFill="1" applyBorder="1" applyAlignment="1">
      <alignment horizontal="center"/>
    </xf>
    <xf numFmtId="0" fontId="24" fillId="18" borderId="19" xfId="0" applyFont="1" applyFill="1" applyBorder="1" applyAlignment="1">
      <alignment horizontal="center" vertical="center" wrapText="1"/>
    </xf>
    <xf numFmtId="0" fontId="4" fillId="19" borderId="21" xfId="0" applyFont="1" applyFill="1" applyBorder="1" applyAlignment="1">
      <alignment horizontal="center" vertical="center"/>
    </xf>
    <xf numFmtId="0" fontId="4" fillId="19" borderId="22" xfId="0" applyFont="1" applyFill="1" applyBorder="1" applyAlignment="1">
      <alignment horizontal="center" vertical="center"/>
    </xf>
    <xf numFmtId="0" fontId="33" fillId="0" borderId="67" xfId="0" applyFont="1" applyBorder="1" applyAlignment="1">
      <alignment horizontal="center" vertical="center" wrapText="1"/>
    </xf>
    <xf numFmtId="0" fontId="33" fillId="0" borderId="38" xfId="0" applyFont="1" applyBorder="1" applyAlignment="1">
      <alignment horizontal="center" vertical="center" wrapText="1"/>
    </xf>
    <xf numFmtId="0" fontId="33" fillId="0" borderId="68" xfId="0" applyFont="1" applyBorder="1" applyAlignment="1">
      <alignment horizontal="center" vertical="center" wrapText="1"/>
    </xf>
    <xf numFmtId="0" fontId="33" fillId="0" borderId="69" xfId="0" applyFont="1" applyBorder="1" applyAlignment="1">
      <alignment horizontal="center" vertical="center" wrapText="1"/>
    </xf>
    <xf numFmtId="0" fontId="33" fillId="0" borderId="55" xfId="0" applyFont="1" applyBorder="1" applyAlignment="1">
      <alignment horizontal="center" vertical="center" wrapText="1"/>
    </xf>
    <xf numFmtId="0" fontId="33" fillId="0" borderId="70" xfId="0" applyFont="1" applyBorder="1" applyAlignment="1">
      <alignment horizontal="center" vertical="center" wrapText="1"/>
    </xf>
    <xf numFmtId="0" fontId="24" fillId="18" borderId="61" xfId="0" applyFont="1" applyFill="1" applyBorder="1" applyAlignment="1">
      <alignment horizontal="center" vertical="center"/>
    </xf>
    <xf numFmtId="0" fontId="24" fillId="18" borderId="20" xfId="0" applyFont="1" applyFill="1" applyBorder="1" applyAlignment="1">
      <alignment horizontal="center" vertical="center"/>
    </xf>
    <xf numFmtId="0" fontId="1" fillId="0" borderId="74" xfId="0" applyFont="1" applyBorder="1" applyAlignment="1">
      <alignment horizontal="center" vertical="center"/>
    </xf>
    <xf numFmtId="0" fontId="1" fillId="0" borderId="0" xfId="0" applyFont="1" applyAlignment="1">
      <alignment horizontal="center" vertical="center"/>
    </xf>
    <xf numFmtId="0" fontId="1" fillId="0" borderId="69" xfId="0" applyFont="1" applyBorder="1" applyAlignment="1">
      <alignment horizontal="center" vertical="center" wrapText="1"/>
    </xf>
    <xf numFmtId="0" fontId="1" fillId="0" borderId="55" xfId="0" applyFont="1" applyBorder="1" applyAlignment="1">
      <alignment horizontal="center" vertical="center" wrapText="1"/>
    </xf>
    <xf numFmtId="0" fontId="1" fillId="0" borderId="70" xfId="0" applyFont="1" applyBorder="1" applyAlignment="1">
      <alignment horizontal="center" vertical="center" wrapText="1"/>
    </xf>
    <xf numFmtId="0" fontId="4" fillId="21" borderId="71" xfId="0" applyFont="1" applyFill="1" applyBorder="1" applyAlignment="1">
      <alignment horizontal="center" vertical="center" wrapText="1"/>
    </xf>
    <xf numFmtId="0" fontId="4" fillId="21" borderId="23" xfId="0" applyFont="1" applyFill="1" applyBorder="1" applyAlignment="1">
      <alignment horizontal="center" vertical="center" wrapText="1"/>
    </xf>
    <xf numFmtId="0" fontId="4" fillId="21" borderId="73" xfId="0" applyFont="1" applyFill="1" applyBorder="1" applyAlignment="1">
      <alignment horizontal="center" vertical="center" wrapText="1"/>
    </xf>
    <xf numFmtId="0" fontId="4" fillId="21" borderId="19" xfId="0" applyFont="1" applyFill="1" applyBorder="1" applyAlignment="1">
      <alignment horizontal="center" vertical="center" wrapText="1"/>
    </xf>
    <xf numFmtId="0" fontId="4" fillId="21" borderId="19" xfId="0" applyFont="1" applyFill="1" applyBorder="1" applyAlignment="1">
      <alignment horizontal="center" vertical="center"/>
    </xf>
    <xf numFmtId="0" fontId="4" fillId="21" borderId="72" xfId="0" applyFont="1" applyFill="1" applyBorder="1" applyAlignment="1">
      <alignment horizontal="center" vertical="center"/>
    </xf>
    <xf numFmtId="0" fontId="4" fillId="21" borderId="24" xfId="0" applyFont="1" applyFill="1" applyBorder="1" applyAlignment="1">
      <alignment horizontal="center" vertical="center"/>
    </xf>
    <xf numFmtId="0" fontId="4" fillId="19" borderId="56" xfId="0" applyFont="1" applyFill="1" applyBorder="1" applyAlignment="1">
      <alignment horizontal="center" vertical="center" wrapText="1"/>
    </xf>
    <xf numFmtId="0" fontId="4" fillId="19" borderId="76" xfId="0" applyFont="1" applyFill="1" applyBorder="1" applyAlignment="1">
      <alignment horizontal="center" vertical="center" wrapText="1"/>
    </xf>
    <xf numFmtId="0" fontId="24" fillId="19" borderId="28" xfId="0" applyFont="1" applyFill="1" applyBorder="1" applyAlignment="1">
      <alignment horizontal="center" vertical="center" textRotation="90"/>
    </xf>
    <xf numFmtId="0" fontId="24" fillId="19" borderId="23" xfId="0" applyFont="1" applyFill="1" applyBorder="1" applyAlignment="1">
      <alignment horizontal="center" vertical="center" textRotation="90"/>
    </xf>
    <xf numFmtId="0" fontId="4" fillId="19" borderId="20" xfId="0" applyFont="1" applyFill="1" applyBorder="1" applyAlignment="1">
      <alignment horizontal="center" vertical="center"/>
    </xf>
    <xf numFmtId="0" fontId="4" fillId="19" borderId="19" xfId="0" applyFont="1" applyFill="1" applyBorder="1" applyAlignment="1">
      <alignment horizontal="center" vertical="center"/>
    </xf>
    <xf numFmtId="0" fontId="4" fillId="19" borderId="20" xfId="0" applyFont="1" applyFill="1" applyBorder="1" applyAlignment="1">
      <alignment horizontal="center" vertical="center" wrapText="1"/>
    </xf>
    <xf numFmtId="0" fontId="4" fillId="19" borderId="19" xfId="0" applyFont="1" applyFill="1" applyBorder="1" applyAlignment="1">
      <alignment horizontal="center" vertical="center" wrapText="1"/>
    </xf>
    <xf numFmtId="0" fontId="4" fillId="19" borderId="69" xfId="0" applyFont="1" applyFill="1" applyBorder="1" applyAlignment="1">
      <alignment horizontal="center" vertical="center" wrapText="1"/>
    </xf>
    <xf numFmtId="0" fontId="4" fillId="19" borderId="62" xfId="0" applyFont="1" applyFill="1" applyBorder="1" applyAlignment="1">
      <alignment horizontal="center" vertical="center" wrapText="1"/>
    </xf>
    <xf numFmtId="0" fontId="4" fillId="20" borderId="71" xfId="0" applyFont="1" applyFill="1" applyBorder="1" applyAlignment="1">
      <alignment horizontal="center" vertical="center" wrapText="1"/>
    </xf>
    <xf numFmtId="0" fontId="4" fillId="20" borderId="23" xfId="0" applyFont="1" applyFill="1" applyBorder="1" applyAlignment="1">
      <alignment horizontal="center" vertical="center" wrapText="1"/>
    </xf>
    <xf numFmtId="0" fontId="4" fillId="20" borderId="73" xfId="0" applyFont="1" applyFill="1" applyBorder="1" applyAlignment="1">
      <alignment horizontal="center" vertical="center" wrapText="1"/>
    </xf>
    <xf numFmtId="0" fontId="4" fillId="20" borderId="19" xfId="0" applyFont="1" applyFill="1" applyBorder="1" applyAlignment="1">
      <alignment horizontal="center" vertical="center" wrapText="1"/>
    </xf>
    <xf numFmtId="0" fontId="4" fillId="20" borderId="72" xfId="0" applyFont="1" applyFill="1" applyBorder="1" applyAlignment="1">
      <alignment horizontal="center" vertical="center"/>
    </xf>
    <xf numFmtId="0" fontId="4" fillId="20" borderId="24" xfId="0" applyFont="1" applyFill="1" applyBorder="1" applyAlignment="1">
      <alignment horizontal="center" vertical="center"/>
    </xf>
    <xf numFmtId="0" fontId="20" fillId="11" borderId="10" xfId="0" applyFont="1" applyFill="1" applyBorder="1" applyAlignment="1" applyProtection="1">
      <alignment horizontal="center" vertical="center" wrapText="1" readingOrder="1"/>
      <protection hidden="1"/>
    </xf>
    <xf numFmtId="0" fontId="20" fillId="11" borderId="0" xfId="0" applyFont="1" applyFill="1" applyAlignment="1" applyProtection="1">
      <alignment horizontal="center" vertical="center" wrapText="1" readingOrder="1"/>
      <protection hidden="1"/>
    </xf>
    <xf numFmtId="0" fontId="23" fillId="0" borderId="0" xfId="0" applyFont="1" applyAlignment="1">
      <alignment horizontal="center" vertical="center" wrapText="1"/>
    </xf>
    <xf numFmtId="0" fontId="20" fillId="5" borderId="5" xfId="0" applyFont="1" applyFill="1" applyBorder="1" applyAlignment="1" applyProtection="1">
      <alignment horizontal="center" vertical="center" wrapText="1" readingOrder="1"/>
      <protection hidden="1"/>
    </xf>
    <xf numFmtId="0" fontId="20" fillId="5" borderId="0" xfId="0" applyFont="1" applyFill="1" applyAlignment="1" applyProtection="1">
      <alignment horizontal="center" vertical="center" wrapText="1" readingOrder="1"/>
      <protection hidden="1"/>
    </xf>
    <xf numFmtId="0" fontId="20" fillId="5" borderId="7" xfId="0" applyFont="1" applyFill="1" applyBorder="1" applyAlignment="1" applyProtection="1">
      <alignment horizontal="center" vertical="center" wrapText="1" readingOrder="1"/>
      <protection hidden="1"/>
    </xf>
    <xf numFmtId="0" fontId="20" fillId="5" borderId="9" xfId="0" applyFont="1" applyFill="1" applyBorder="1" applyAlignment="1" applyProtection="1">
      <alignment horizontal="center" vertical="center" wrapText="1" readingOrder="1"/>
      <protection hidden="1"/>
    </xf>
    <xf numFmtId="0" fontId="20" fillId="5" borderId="6" xfId="0" applyFont="1" applyFill="1" applyBorder="1" applyAlignment="1" applyProtection="1">
      <alignment horizontal="center" vertical="center" wrapText="1" readingOrder="1"/>
      <protection hidden="1"/>
    </xf>
    <xf numFmtId="0" fontId="20" fillId="5" borderId="8" xfId="0" applyFont="1" applyFill="1" applyBorder="1" applyAlignment="1" applyProtection="1">
      <alignment horizontal="center" vertical="center" wrapText="1" readingOrder="1"/>
      <protection hidden="1"/>
    </xf>
    <xf numFmtId="0" fontId="20" fillId="5" borderId="3" xfId="0" applyFont="1" applyFill="1" applyBorder="1" applyAlignment="1" applyProtection="1">
      <alignment horizontal="center" vertical="center" wrapText="1" readingOrder="1"/>
      <protection hidden="1"/>
    </xf>
    <xf numFmtId="0" fontId="20" fillId="5" borderId="10" xfId="0" applyFont="1" applyFill="1" applyBorder="1" applyAlignment="1" applyProtection="1">
      <alignment horizontal="center" vertical="center" wrapText="1" readingOrder="1"/>
      <protection hidden="1"/>
    </xf>
    <xf numFmtId="0" fontId="20" fillId="5" borderId="4" xfId="0" applyFont="1" applyFill="1" applyBorder="1" applyAlignment="1" applyProtection="1">
      <alignment horizontal="center" vertical="center" wrapText="1" readingOrder="1"/>
      <protection hidden="1"/>
    </xf>
    <xf numFmtId="0" fontId="20" fillId="13" borderId="5" xfId="0" applyFont="1" applyFill="1" applyBorder="1" applyAlignment="1" applyProtection="1">
      <alignment horizontal="center" vertical="center" wrapText="1" readingOrder="1"/>
      <protection hidden="1"/>
    </xf>
    <xf numFmtId="0" fontId="20" fillId="13" borderId="0" xfId="0" applyFont="1" applyFill="1" applyAlignment="1" applyProtection="1">
      <alignment horizontal="center" vertical="center" wrapText="1" readingOrder="1"/>
      <protection hidden="1"/>
    </xf>
    <xf numFmtId="0" fontId="20" fillId="13" borderId="7" xfId="0" applyFont="1" applyFill="1" applyBorder="1" applyAlignment="1" applyProtection="1">
      <alignment horizontal="center" vertical="center" wrapText="1" readingOrder="1"/>
      <protection hidden="1"/>
    </xf>
    <xf numFmtId="0" fontId="20" fillId="13" borderId="9" xfId="0" applyFont="1" applyFill="1" applyBorder="1" applyAlignment="1" applyProtection="1">
      <alignment horizontal="center" vertical="center" wrapText="1" readingOrder="1"/>
      <protection hidden="1"/>
    </xf>
    <xf numFmtId="0" fontId="20" fillId="13" borderId="6" xfId="0" applyFont="1" applyFill="1" applyBorder="1" applyAlignment="1" applyProtection="1">
      <alignment horizontal="center" vertical="center" wrapText="1" readingOrder="1"/>
      <protection hidden="1"/>
    </xf>
    <xf numFmtId="0" fontId="20" fillId="13" borderId="8" xfId="0" applyFont="1" applyFill="1" applyBorder="1" applyAlignment="1" applyProtection="1">
      <alignment horizontal="center" vertical="center" wrapText="1" readingOrder="1"/>
      <protection hidden="1"/>
    </xf>
    <xf numFmtId="0" fontId="20" fillId="13" borderId="3" xfId="0" applyFont="1" applyFill="1" applyBorder="1" applyAlignment="1" applyProtection="1">
      <alignment horizontal="center" vertical="center" wrapText="1" readingOrder="1"/>
      <protection hidden="1"/>
    </xf>
    <xf numFmtId="0" fontId="20" fillId="13" borderId="10" xfId="0" applyFont="1" applyFill="1" applyBorder="1" applyAlignment="1" applyProtection="1">
      <alignment horizontal="center" vertical="center" wrapText="1" readingOrder="1"/>
      <protection hidden="1"/>
    </xf>
    <xf numFmtId="0" fontId="20" fillId="13" borderId="4" xfId="0" applyFont="1" applyFill="1" applyBorder="1" applyAlignment="1" applyProtection="1">
      <alignment horizontal="center" vertical="center" wrapText="1" readingOrder="1"/>
      <protection hidden="1"/>
    </xf>
    <xf numFmtId="0" fontId="20" fillId="12" borderId="5" xfId="0" applyFont="1" applyFill="1" applyBorder="1" applyAlignment="1" applyProtection="1">
      <alignment horizontal="center" vertical="center" wrapText="1" readingOrder="1"/>
      <protection hidden="1"/>
    </xf>
    <xf numFmtId="0" fontId="20" fillId="12" borderId="0" xfId="0" applyFont="1" applyFill="1" applyAlignment="1" applyProtection="1">
      <alignment horizontal="center" vertical="center" wrapText="1" readingOrder="1"/>
      <protection hidden="1"/>
    </xf>
    <xf numFmtId="0" fontId="20" fillId="12" borderId="7" xfId="0" applyFont="1" applyFill="1" applyBorder="1" applyAlignment="1" applyProtection="1">
      <alignment horizontal="center" vertical="center" wrapText="1" readingOrder="1"/>
      <protection hidden="1"/>
    </xf>
    <xf numFmtId="0" fontId="20" fillId="12" borderId="9" xfId="0" applyFont="1" applyFill="1" applyBorder="1" applyAlignment="1" applyProtection="1">
      <alignment horizontal="center" vertical="center" wrapText="1" readingOrder="1"/>
      <protection hidden="1"/>
    </xf>
    <xf numFmtId="0" fontId="20" fillId="12" borderId="6" xfId="0" applyFont="1" applyFill="1" applyBorder="1" applyAlignment="1" applyProtection="1">
      <alignment horizontal="center" vertical="center" wrapText="1" readingOrder="1"/>
      <protection hidden="1"/>
    </xf>
    <xf numFmtId="0" fontId="20" fillId="12" borderId="8" xfId="0" applyFont="1" applyFill="1" applyBorder="1" applyAlignment="1" applyProtection="1">
      <alignment horizontal="center" vertical="center" wrapText="1" readingOrder="1"/>
      <protection hidden="1"/>
    </xf>
    <xf numFmtId="0" fontId="20" fillId="12" borderId="3" xfId="0" applyFont="1" applyFill="1" applyBorder="1" applyAlignment="1" applyProtection="1">
      <alignment horizontal="center" vertical="center" wrapText="1" readingOrder="1"/>
      <protection hidden="1"/>
    </xf>
    <xf numFmtId="0" fontId="20" fillId="12" borderId="10" xfId="0" applyFont="1" applyFill="1" applyBorder="1" applyAlignment="1" applyProtection="1">
      <alignment horizontal="center" vertical="center" wrapText="1" readingOrder="1"/>
      <protection hidden="1"/>
    </xf>
    <xf numFmtId="0" fontId="20" fillId="12" borderId="4" xfId="0" applyFont="1" applyFill="1" applyBorder="1" applyAlignment="1" applyProtection="1">
      <alignment horizontal="center" vertical="center" wrapText="1" readingOrder="1"/>
      <protection hidden="1"/>
    </xf>
    <xf numFmtId="0" fontId="20" fillId="17" borderId="5" xfId="0" applyFont="1" applyFill="1" applyBorder="1" applyAlignment="1" applyProtection="1">
      <alignment horizontal="center" vertical="center" wrapText="1" readingOrder="1"/>
      <protection hidden="1"/>
    </xf>
    <xf numFmtId="0" fontId="20" fillId="17" borderId="0" xfId="0" applyFont="1" applyFill="1" applyAlignment="1" applyProtection="1">
      <alignment horizontal="center" vertical="center" wrapText="1" readingOrder="1"/>
      <protection hidden="1"/>
    </xf>
    <xf numFmtId="0" fontId="20" fillId="17" borderId="7" xfId="0" applyFont="1" applyFill="1" applyBorder="1" applyAlignment="1" applyProtection="1">
      <alignment horizontal="center" vertical="center" wrapText="1" readingOrder="1"/>
      <protection hidden="1"/>
    </xf>
    <xf numFmtId="0" fontId="20" fillId="17" borderId="9" xfId="0" applyFont="1" applyFill="1" applyBorder="1" applyAlignment="1" applyProtection="1">
      <alignment horizontal="center" vertical="center" wrapText="1" readingOrder="1"/>
      <protection hidden="1"/>
    </xf>
    <xf numFmtId="0" fontId="20" fillId="17" borderId="6" xfId="0" applyFont="1" applyFill="1" applyBorder="1" applyAlignment="1" applyProtection="1">
      <alignment horizontal="center" vertical="center" wrapText="1" readingOrder="1"/>
      <protection hidden="1"/>
    </xf>
    <xf numFmtId="0" fontId="20" fillId="17" borderId="8" xfId="0" applyFont="1" applyFill="1" applyBorder="1" applyAlignment="1" applyProtection="1">
      <alignment horizontal="center" vertical="center" wrapText="1" readingOrder="1"/>
      <protection hidden="1"/>
    </xf>
    <xf numFmtId="0" fontId="20" fillId="17" borderId="3" xfId="0" applyFont="1" applyFill="1" applyBorder="1" applyAlignment="1" applyProtection="1">
      <alignment horizontal="center" vertical="center" wrapText="1" readingOrder="1"/>
      <protection hidden="1"/>
    </xf>
    <xf numFmtId="0" fontId="20" fillId="17" borderId="10" xfId="0" applyFont="1" applyFill="1" applyBorder="1" applyAlignment="1" applyProtection="1">
      <alignment horizontal="center" vertical="center" wrapText="1" readingOrder="1"/>
      <protection hidden="1"/>
    </xf>
    <xf numFmtId="0" fontId="20" fillId="17" borderId="4" xfId="0" applyFont="1" applyFill="1" applyBorder="1" applyAlignment="1" applyProtection="1">
      <alignment horizontal="center" vertical="center" wrapText="1" readingOrder="1"/>
      <protection hidden="1"/>
    </xf>
    <xf numFmtId="0" fontId="18" fillId="0" borderId="3" xfId="0" applyFont="1" applyBorder="1" applyAlignment="1">
      <alignment horizontal="center" vertical="center" wrapText="1"/>
    </xf>
    <xf numFmtId="0" fontId="18" fillId="0" borderId="10" xfId="0" applyFont="1" applyBorder="1" applyAlignment="1">
      <alignment horizontal="center" vertical="center" wrapText="1"/>
    </xf>
    <xf numFmtId="0" fontId="18" fillId="0" borderId="10" xfId="0" applyFont="1" applyBorder="1" applyAlignment="1">
      <alignment horizontal="center" vertical="center"/>
    </xf>
    <xf numFmtId="0" fontId="18" fillId="0" borderId="4" xfId="0" applyFont="1" applyBorder="1" applyAlignment="1">
      <alignment horizontal="center" vertical="center"/>
    </xf>
    <xf numFmtId="0" fontId="18" fillId="0" borderId="5" xfId="0" applyFont="1" applyBorder="1" applyAlignment="1">
      <alignment horizontal="center" vertical="center"/>
    </xf>
    <xf numFmtId="0" fontId="18" fillId="0" borderId="0" xfId="0" applyFont="1" applyAlignment="1">
      <alignment horizontal="center" vertical="center"/>
    </xf>
    <xf numFmtId="0" fontId="18" fillId="0" borderId="6" xfId="0" applyFont="1" applyBorder="1" applyAlignment="1">
      <alignment horizontal="center" vertical="center"/>
    </xf>
    <xf numFmtId="0" fontId="18" fillId="0" borderId="7" xfId="0" applyFont="1" applyBorder="1" applyAlignment="1">
      <alignment horizontal="center" vertical="center"/>
    </xf>
    <xf numFmtId="0" fontId="18" fillId="0" borderId="9" xfId="0" applyFont="1" applyBorder="1" applyAlignment="1">
      <alignment horizontal="center" vertical="center"/>
    </xf>
    <xf numFmtId="0" fontId="18" fillId="0" borderId="8" xfId="0" applyFont="1" applyBorder="1" applyAlignment="1">
      <alignment horizontal="center" vertical="center"/>
    </xf>
    <xf numFmtId="0" fontId="20" fillId="11" borderId="5" xfId="0" applyFont="1" applyFill="1" applyBorder="1" applyAlignment="1" applyProtection="1">
      <alignment horizontal="center" vertical="center" wrapText="1" readingOrder="1"/>
      <protection hidden="1"/>
    </xf>
    <xf numFmtId="0" fontId="20" fillId="11" borderId="7" xfId="0" applyFont="1" applyFill="1" applyBorder="1" applyAlignment="1" applyProtection="1">
      <alignment horizontal="center" vertical="center" wrapText="1" readingOrder="1"/>
      <protection hidden="1"/>
    </xf>
    <xf numFmtId="0" fontId="20" fillId="11" borderId="9" xfId="0" applyFont="1" applyFill="1" applyBorder="1" applyAlignment="1" applyProtection="1">
      <alignment horizontal="center" vertical="center" wrapText="1" readingOrder="1"/>
      <protection hidden="1"/>
    </xf>
    <xf numFmtId="0" fontId="20" fillId="11" borderId="4" xfId="0" applyFont="1" applyFill="1" applyBorder="1" applyAlignment="1" applyProtection="1">
      <alignment horizontal="center" vertical="center" wrapText="1" readingOrder="1"/>
      <protection hidden="1"/>
    </xf>
    <xf numFmtId="0" fontId="20" fillId="11" borderId="6" xfId="0" applyFont="1" applyFill="1" applyBorder="1" applyAlignment="1" applyProtection="1">
      <alignment horizontal="center" vertical="center" wrapText="1" readingOrder="1"/>
      <protection hidden="1"/>
    </xf>
    <xf numFmtId="0" fontId="0" fillId="0" borderId="19" xfId="0" applyBorder="1" applyAlignment="1">
      <alignment horizontal="center"/>
    </xf>
    <xf numFmtId="0" fontId="57" fillId="0" borderId="19" xfId="0" applyFont="1" applyBorder="1" applyAlignment="1">
      <alignment horizontal="center" vertical="center"/>
    </xf>
    <xf numFmtId="0" fontId="65" fillId="0" borderId="19" xfId="0" applyFont="1" applyBorder="1" applyAlignment="1">
      <alignment horizontal="center" vertical="center"/>
    </xf>
    <xf numFmtId="0" fontId="58" fillId="0" borderId="19" xfId="0" applyFont="1" applyBorder="1" applyAlignment="1">
      <alignment horizontal="center" vertical="center" wrapText="1"/>
    </xf>
    <xf numFmtId="0" fontId="58" fillId="0" borderId="19" xfId="0" applyFont="1" applyBorder="1" applyAlignment="1">
      <alignment horizontal="center" vertical="center"/>
    </xf>
    <xf numFmtId="0" fontId="19" fillId="10" borderId="0" xfId="0" applyFont="1" applyFill="1" applyAlignment="1">
      <alignment horizontal="center" vertical="center" textRotation="90" wrapText="1" readingOrder="1"/>
    </xf>
    <xf numFmtId="0" fontId="19" fillId="10" borderId="6" xfId="0" applyFont="1" applyFill="1" applyBorder="1" applyAlignment="1">
      <alignment horizontal="center" vertical="center" textRotation="90" wrapText="1" readingOrder="1"/>
    </xf>
    <xf numFmtId="0" fontId="21" fillId="12" borderId="11" xfId="0" applyFont="1" applyFill="1" applyBorder="1" applyAlignment="1">
      <alignment horizontal="center" vertical="center" wrapText="1" readingOrder="1"/>
    </xf>
    <xf numFmtId="0" fontId="21" fillId="12" borderId="12" xfId="0" applyFont="1" applyFill="1" applyBorder="1" applyAlignment="1">
      <alignment horizontal="center" vertical="center" wrapText="1" readingOrder="1"/>
    </xf>
    <xf numFmtId="0" fontId="21" fillId="12" borderId="13" xfId="0" applyFont="1" applyFill="1" applyBorder="1" applyAlignment="1">
      <alignment horizontal="center" vertical="center" wrapText="1" readingOrder="1"/>
    </xf>
    <xf numFmtId="0" fontId="21" fillId="12" borderId="14" xfId="0" applyFont="1" applyFill="1" applyBorder="1" applyAlignment="1">
      <alignment horizontal="center" vertical="center" wrapText="1" readingOrder="1"/>
    </xf>
    <xf numFmtId="0" fontId="21" fillId="12" borderId="0" xfId="0" applyFont="1" applyFill="1" applyAlignment="1">
      <alignment horizontal="center" vertical="center" wrapText="1" readingOrder="1"/>
    </xf>
    <xf numFmtId="0" fontId="21" fillId="12" borderId="15" xfId="0" applyFont="1" applyFill="1" applyBorder="1" applyAlignment="1">
      <alignment horizontal="center" vertical="center" wrapText="1" readingOrder="1"/>
    </xf>
    <xf numFmtId="0" fontId="21" fillId="12" borderId="16" xfId="0" applyFont="1" applyFill="1" applyBorder="1" applyAlignment="1">
      <alignment horizontal="center" vertical="center" wrapText="1" readingOrder="1"/>
    </xf>
    <xf numFmtId="0" fontId="21" fillId="12" borderId="17" xfId="0" applyFont="1" applyFill="1" applyBorder="1" applyAlignment="1">
      <alignment horizontal="center" vertical="center" wrapText="1" readingOrder="1"/>
    </xf>
    <xf numFmtId="0" fontId="21" fillId="12" borderId="18" xfId="0" applyFont="1" applyFill="1" applyBorder="1" applyAlignment="1">
      <alignment horizontal="center" vertical="center" wrapText="1" readingOrder="1"/>
    </xf>
    <xf numFmtId="0" fontId="21" fillId="11" borderId="11" xfId="0" applyFont="1" applyFill="1" applyBorder="1" applyAlignment="1">
      <alignment horizontal="center" vertical="center" wrapText="1" readingOrder="1"/>
    </xf>
    <xf numFmtId="0" fontId="21" fillId="11" borderId="12" xfId="0" applyFont="1" applyFill="1" applyBorder="1" applyAlignment="1">
      <alignment horizontal="center" vertical="center" wrapText="1" readingOrder="1"/>
    </xf>
    <xf numFmtId="0" fontId="21" fillId="11" borderId="13" xfId="0" applyFont="1" applyFill="1" applyBorder="1" applyAlignment="1">
      <alignment horizontal="center" vertical="center" wrapText="1" readingOrder="1"/>
    </xf>
    <xf numFmtId="0" fontId="21" fillId="11" borderId="14" xfId="0" applyFont="1" applyFill="1" applyBorder="1" applyAlignment="1">
      <alignment horizontal="center" vertical="center" wrapText="1" readingOrder="1"/>
    </xf>
    <xf numFmtId="0" fontId="21" fillId="11" borderId="0" xfId="0" applyFont="1" applyFill="1" applyAlignment="1">
      <alignment horizontal="center" vertical="center" wrapText="1" readingOrder="1"/>
    </xf>
    <xf numFmtId="0" fontId="21" fillId="11" borderId="15" xfId="0" applyFont="1" applyFill="1" applyBorder="1" applyAlignment="1">
      <alignment horizontal="center" vertical="center" wrapText="1" readingOrder="1"/>
    </xf>
    <xf numFmtId="0" fontId="21" fillId="11" borderId="16" xfId="0" applyFont="1" applyFill="1" applyBorder="1" applyAlignment="1">
      <alignment horizontal="center" vertical="center" wrapText="1" readingOrder="1"/>
    </xf>
    <xf numFmtId="0" fontId="21" fillId="11" borderId="17" xfId="0" applyFont="1" applyFill="1" applyBorder="1" applyAlignment="1">
      <alignment horizontal="center" vertical="center" wrapText="1" readingOrder="1"/>
    </xf>
    <xf numFmtId="0" fontId="21" fillId="11" borderId="18" xfId="0" applyFont="1" applyFill="1" applyBorder="1" applyAlignment="1">
      <alignment horizontal="center" vertical="center" wrapText="1" readingOrder="1"/>
    </xf>
    <xf numFmtId="0" fontId="21" fillId="13" borderId="11" xfId="0" applyFont="1" applyFill="1" applyBorder="1" applyAlignment="1">
      <alignment horizontal="center" vertical="center" wrapText="1" readingOrder="1"/>
    </xf>
    <xf numFmtId="0" fontId="21" fillId="13" borderId="12" xfId="0" applyFont="1" applyFill="1" applyBorder="1" applyAlignment="1">
      <alignment horizontal="center" vertical="center" wrapText="1" readingOrder="1"/>
    </xf>
    <xf numFmtId="0" fontId="21" fillId="13" borderId="13" xfId="0" applyFont="1" applyFill="1" applyBorder="1" applyAlignment="1">
      <alignment horizontal="center" vertical="center" wrapText="1" readingOrder="1"/>
    </xf>
    <xf numFmtId="0" fontId="21" fillId="13" borderId="14" xfId="0" applyFont="1" applyFill="1" applyBorder="1" applyAlignment="1">
      <alignment horizontal="center" vertical="center" wrapText="1" readingOrder="1"/>
    </xf>
    <xf numFmtId="0" fontId="21" fillId="13" borderId="0" xfId="0" applyFont="1" applyFill="1" applyAlignment="1">
      <alignment horizontal="center" vertical="center" wrapText="1" readingOrder="1"/>
    </xf>
    <xf numFmtId="0" fontId="21" fillId="13" borderId="15" xfId="0" applyFont="1" applyFill="1" applyBorder="1" applyAlignment="1">
      <alignment horizontal="center" vertical="center" wrapText="1" readingOrder="1"/>
    </xf>
    <xf numFmtId="0" fontId="21" fillId="13" borderId="16" xfId="0" applyFont="1" applyFill="1" applyBorder="1" applyAlignment="1">
      <alignment horizontal="center" vertical="center" wrapText="1" readingOrder="1"/>
    </xf>
    <xf numFmtId="0" fontId="21" fillId="13" borderId="17" xfId="0" applyFont="1" applyFill="1" applyBorder="1" applyAlignment="1">
      <alignment horizontal="center" vertical="center" wrapText="1" readingOrder="1"/>
    </xf>
    <xf numFmtId="0" fontId="21" fillId="13" borderId="18" xfId="0" applyFont="1" applyFill="1" applyBorder="1" applyAlignment="1">
      <alignment horizontal="center" vertical="center" wrapText="1" readingOrder="1"/>
    </xf>
    <xf numFmtId="0" fontId="21" fillId="5" borderId="11" xfId="0" applyFont="1" applyFill="1" applyBorder="1" applyAlignment="1">
      <alignment horizontal="center" vertical="center" wrapText="1" readingOrder="1"/>
    </xf>
    <xf numFmtId="0" fontId="21" fillId="5" borderId="12" xfId="0" applyFont="1" applyFill="1" applyBorder="1" applyAlignment="1">
      <alignment horizontal="center" vertical="center" wrapText="1" readingOrder="1"/>
    </xf>
    <xf numFmtId="0" fontId="21" fillId="5" borderId="13" xfId="0" applyFont="1" applyFill="1" applyBorder="1" applyAlignment="1">
      <alignment horizontal="center" vertical="center" wrapText="1" readingOrder="1"/>
    </xf>
    <xf numFmtId="0" fontId="21" fillId="5" borderId="14" xfId="0" applyFont="1" applyFill="1" applyBorder="1" applyAlignment="1">
      <alignment horizontal="center" vertical="center" wrapText="1" readingOrder="1"/>
    </xf>
    <xf numFmtId="0" fontId="21" fillId="5" borderId="0" xfId="0" applyFont="1" applyFill="1" applyAlignment="1">
      <alignment horizontal="center" vertical="center" wrapText="1" readingOrder="1"/>
    </xf>
    <xf numFmtId="0" fontId="21" fillId="5" borderId="15" xfId="0" applyFont="1" applyFill="1" applyBorder="1" applyAlignment="1">
      <alignment horizontal="center" vertical="center" wrapText="1" readingOrder="1"/>
    </xf>
    <xf numFmtId="0" fontId="21" fillId="5" borderId="16" xfId="0" applyFont="1" applyFill="1" applyBorder="1" applyAlignment="1">
      <alignment horizontal="center" vertical="center" wrapText="1" readingOrder="1"/>
    </xf>
    <xf numFmtId="0" fontId="21" fillId="5" borderId="17" xfId="0" applyFont="1" applyFill="1" applyBorder="1" applyAlignment="1">
      <alignment horizontal="center" vertical="center" wrapText="1" readingOrder="1"/>
    </xf>
    <xf numFmtId="0" fontId="21" fillId="5" borderId="18" xfId="0" applyFont="1" applyFill="1" applyBorder="1" applyAlignment="1">
      <alignment horizontal="center" vertical="center" wrapText="1" readingOrder="1"/>
    </xf>
    <xf numFmtId="0" fontId="18" fillId="0" borderId="5" xfId="0" applyFont="1" applyBorder="1" applyAlignment="1">
      <alignment horizontal="center" vertical="center" wrapText="1"/>
    </xf>
    <xf numFmtId="0" fontId="19" fillId="10" borderId="0" xfId="0" applyFont="1" applyFill="1" applyAlignment="1">
      <alignment horizontal="center" vertical="center" wrapText="1" readingOrder="1"/>
    </xf>
    <xf numFmtId="0" fontId="4" fillId="19" borderId="77" xfId="0" applyFont="1" applyFill="1" applyBorder="1" applyAlignment="1">
      <alignment horizontal="center" vertical="center" wrapText="1"/>
    </xf>
    <xf numFmtId="0" fontId="4" fillId="22" borderId="77" xfId="0" applyFont="1" applyFill="1" applyBorder="1" applyAlignment="1">
      <alignment horizontal="center" vertical="center" textRotation="90" wrapText="1"/>
    </xf>
    <xf numFmtId="0" fontId="0" fillId="3" borderId="19" xfId="0" applyFill="1" applyBorder="1" applyAlignment="1">
      <alignment horizontal="center" wrapText="1"/>
    </xf>
    <xf numFmtId="0" fontId="4" fillId="19" borderId="77" xfId="0" applyFont="1" applyFill="1" applyBorder="1" applyAlignment="1">
      <alignment horizontal="center" vertical="center" textRotation="90" wrapText="1"/>
    </xf>
    <xf numFmtId="0" fontId="4" fillId="19" borderId="77" xfId="0" applyFont="1" applyFill="1" applyBorder="1" applyAlignment="1">
      <alignment horizontal="center" vertical="center"/>
    </xf>
    <xf numFmtId="0" fontId="63" fillId="3" borderId="38" xfId="0" applyFont="1" applyFill="1" applyBorder="1" applyAlignment="1">
      <alignment horizontal="center" vertical="center"/>
    </xf>
    <xf numFmtId="0" fontId="63" fillId="3" borderId="68" xfId="0" applyFont="1" applyFill="1" applyBorder="1" applyAlignment="1">
      <alignment horizontal="center" vertical="center"/>
    </xf>
    <xf numFmtId="0" fontId="64" fillId="3" borderId="19" xfId="0" applyFont="1" applyFill="1" applyBorder="1" applyAlignment="1">
      <alignment horizontal="center" vertical="center"/>
    </xf>
    <xf numFmtId="9" fontId="4" fillId="16" borderId="77" xfId="1" applyFont="1" applyFill="1" applyBorder="1" applyAlignment="1">
      <alignment horizontal="center" vertical="center" textRotation="90" wrapText="1"/>
    </xf>
    <xf numFmtId="0" fontId="69" fillId="3" borderId="67" xfId="0" applyFont="1" applyFill="1" applyBorder="1" applyAlignment="1">
      <alignment horizontal="center" vertical="center" wrapText="1"/>
    </xf>
    <xf numFmtId="0" fontId="69" fillId="3" borderId="68" xfId="0" applyFont="1" applyFill="1" applyBorder="1" applyAlignment="1">
      <alignment horizontal="center" vertical="center" wrapText="1"/>
    </xf>
    <xf numFmtId="0" fontId="69" fillId="3" borderId="69" xfId="0" applyFont="1" applyFill="1" applyBorder="1" applyAlignment="1">
      <alignment horizontal="center" vertical="center" wrapText="1"/>
    </xf>
    <xf numFmtId="0" fontId="69" fillId="3" borderId="70" xfId="0" applyFont="1" applyFill="1" applyBorder="1" applyAlignment="1">
      <alignment horizontal="center" vertical="center" wrapText="1"/>
    </xf>
    <xf numFmtId="0" fontId="22" fillId="0" borderId="0" xfId="0" applyFont="1" applyAlignment="1">
      <alignment horizontal="center" vertical="center"/>
    </xf>
    <xf numFmtId="0" fontId="67" fillId="3" borderId="61" xfId="0" applyFont="1" applyFill="1" applyBorder="1" applyAlignment="1">
      <alignment horizontal="center" vertical="center" wrapText="1"/>
    </xf>
    <xf numFmtId="0" fontId="67" fillId="3" borderId="20" xfId="0" applyFont="1" applyFill="1" applyBorder="1" applyAlignment="1">
      <alignment horizontal="center" vertical="center"/>
    </xf>
    <xf numFmtId="0" fontId="31" fillId="0" borderId="65" xfId="0" applyFont="1" applyBorder="1" applyAlignment="1">
      <alignment horizontal="left" vertical="center" wrapText="1" readingOrder="1"/>
    </xf>
    <xf numFmtId="0" fontId="31" fillId="0" borderId="66" xfId="0" applyFont="1" applyBorder="1" applyAlignment="1">
      <alignment horizontal="left" vertical="center" wrapText="1" readingOrder="1"/>
    </xf>
    <xf numFmtId="0" fontId="59" fillId="3" borderId="19" xfId="0" applyFont="1" applyFill="1" applyBorder="1" applyAlignment="1">
      <alignment horizontal="center" vertical="center"/>
    </xf>
    <xf numFmtId="0" fontId="63" fillId="3" borderId="19" xfId="0" applyFont="1" applyFill="1" applyBorder="1" applyAlignment="1">
      <alignment horizontal="center" vertical="center"/>
    </xf>
    <xf numFmtId="0" fontId="30" fillId="6" borderId="0" xfId="0" applyFont="1" applyFill="1" applyAlignment="1">
      <alignment horizontal="center" vertical="center" wrapText="1" readingOrder="1"/>
    </xf>
    <xf numFmtId="0" fontId="40" fillId="0" borderId="0" xfId="0" applyFont="1" applyAlignment="1">
      <alignment horizontal="center" vertical="center"/>
    </xf>
    <xf numFmtId="0" fontId="0" fillId="3" borderId="19" xfId="0" applyFill="1" applyBorder="1" applyAlignment="1">
      <alignment horizontal="center"/>
    </xf>
    <xf numFmtId="0" fontId="55" fillId="3" borderId="19" xfId="0" applyFont="1" applyFill="1" applyBorder="1" applyAlignment="1">
      <alignment horizontal="center" vertical="center" wrapText="1"/>
    </xf>
    <xf numFmtId="0" fontId="55" fillId="3" borderId="19" xfId="0" applyFont="1" applyFill="1" applyBorder="1" applyAlignment="1">
      <alignment horizontal="center" vertical="center"/>
    </xf>
    <xf numFmtId="0" fontId="33" fillId="3" borderId="0" xfId="0" applyFont="1" applyFill="1" applyAlignment="1">
      <alignment horizontal="justify" vertical="center" wrapText="1"/>
    </xf>
    <xf numFmtId="0" fontId="35" fillId="15" borderId="30" xfId="0" applyFont="1" applyFill="1" applyBorder="1" applyAlignment="1">
      <alignment horizontal="center" vertical="center" wrapText="1" readingOrder="1"/>
    </xf>
    <xf numFmtId="0" fontId="35" fillId="15" borderId="31" xfId="0" applyFont="1" applyFill="1" applyBorder="1" applyAlignment="1">
      <alignment horizontal="center" vertical="center" wrapText="1" readingOrder="1"/>
    </xf>
    <xf numFmtId="0" fontId="35" fillId="3" borderId="28" xfId="0" applyFont="1" applyFill="1" applyBorder="1" applyAlignment="1">
      <alignment horizontal="center" vertical="center" wrapText="1" readingOrder="1"/>
    </xf>
    <xf numFmtId="0" fontId="35" fillId="3" borderId="23" xfId="0" applyFont="1" applyFill="1" applyBorder="1" applyAlignment="1">
      <alignment horizontal="center" vertical="center" wrapText="1" readingOrder="1"/>
    </xf>
    <xf numFmtId="0" fontId="35" fillId="3" borderId="20" xfId="0" applyFont="1" applyFill="1" applyBorder="1" applyAlignment="1">
      <alignment horizontal="center" vertical="center" wrapText="1" readingOrder="1"/>
    </xf>
    <xf numFmtId="0" fontId="35" fillId="3" borderId="19" xfId="0" applyFont="1" applyFill="1" applyBorder="1" applyAlignment="1">
      <alignment horizontal="center" vertical="center" wrapText="1" readingOrder="1"/>
    </xf>
    <xf numFmtId="0" fontId="35" fillId="3" borderId="25" xfId="0" applyFont="1" applyFill="1" applyBorder="1" applyAlignment="1">
      <alignment horizontal="center" vertical="center" wrapText="1" readingOrder="1"/>
    </xf>
    <xf numFmtId="0" fontId="35" fillId="3" borderId="26" xfId="0" applyFont="1" applyFill="1" applyBorder="1" applyAlignment="1">
      <alignment horizontal="center" vertical="center" wrapText="1" readingOrder="1"/>
    </xf>
    <xf numFmtId="0" fontId="69" fillId="3" borderId="61" xfId="0" applyFont="1" applyFill="1" applyBorder="1" applyAlignment="1">
      <alignment horizontal="center" vertical="center" wrapText="1"/>
    </xf>
    <xf numFmtId="0" fontId="69" fillId="3" borderId="20" xfId="0" applyFont="1" applyFill="1" applyBorder="1" applyAlignment="1">
      <alignment horizontal="center" vertical="center"/>
    </xf>
    <xf numFmtId="0" fontId="56" fillId="3" borderId="19" xfId="0" applyFont="1" applyFill="1" applyBorder="1" applyAlignment="1">
      <alignment horizontal="center" vertical="center"/>
    </xf>
    <xf numFmtId="0" fontId="38" fillId="15" borderId="21" xfId="0" applyFont="1" applyFill="1" applyBorder="1" applyAlignment="1">
      <alignment horizontal="center" vertical="center" wrapText="1" readingOrder="1"/>
    </xf>
    <xf numFmtId="0" fontId="38" fillId="15" borderId="22" xfId="0" applyFont="1" applyFill="1" applyBorder="1" applyAlignment="1">
      <alignment horizontal="center" vertical="center" wrapText="1" readingOrder="1"/>
    </xf>
    <xf numFmtId="0" fontId="38" fillId="15" borderId="33"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7">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FFFF00"/>
        </patternFill>
      </fill>
    </dxf>
    <dxf>
      <font>
        <color theme="1"/>
      </font>
      <fill>
        <patternFill>
          <bgColor theme="9" tint="-0.24994659260841701"/>
        </patternFill>
      </fill>
    </dxf>
    <dxf>
      <font>
        <color theme="1"/>
      </font>
      <fill>
        <patternFill>
          <bgColor rgb="FF92D050"/>
        </patternFill>
      </fill>
    </dxf>
    <dxf>
      <font>
        <color theme="1"/>
      </font>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EAEAEA"/>
      <color rgb="FFE7E0D1"/>
      <color rgb="FFFF9900"/>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545523</xdr:colOff>
      <xdr:row>0</xdr:row>
      <xdr:rowOff>86591</xdr:rowOff>
    </xdr:from>
    <xdr:to>
      <xdr:col>1</xdr:col>
      <xdr:colOff>1126548</xdr:colOff>
      <xdr:row>1</xdr:row>
      <xdr:rowOff>471343</xdr:rowOff>
    </xdr:to>
    <xdr:pic>
      <xdr:nvPicPr>
        <xdr:cNvPr id="2" name="Imagen 1" descr="logUNICORDOBA vigiladoMENmodalidad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736023" y="86591"/>
          <a:ext cx="581025" cy="93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421483</xdr:colOff>
      <xdr:row>0</xdr:row>
      <xdr:rowOff>45774</xdr:rowOff>
    </xdr:from>
    <xdr:to>
      <xdr:col>1</xdr:col>
      <xdr:colOff>562658</xdr:colOff>
      <xdr:row>1</xdr:row>
      <xdr:rowOff>457583</xdr:rowOff>
    </xdr:to>
    <xdr:pic>
      <xdr:nvPicPr>
        <xdr:cNvPr id="2" name="Imagen 1" descr="logUNICORDOBA vigiladoMENmodalidad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421483" y="45774"/>
          <a:ext cx="615416" cy="9423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4</xdr:col>
      <xdr:colOff>1376383</xdr:colOff>
      <xdr:row>3</xdr:row>
      <xdr:rowOff>37934</xdr:rowOff>
    </xdr:from>
    <xdr:ext cx="2906980" cy="1546267"/>
    <xdr:sp macro="" textlink="">
      <xdr:nvSpPr>
        <xdr:cNvPr id="3" name="CuadroTexto 2">
          <a:extLst>
            <a:ext uri="{FF2B5EF4-FFF2-40B4-BE49-F238E27FC236}">
              <a16:creationId xmlns:a16="http://schemas.microsoft.com/office/drawing/2014/main" id="{D29574DE-E38F-4251-A951-BDD21AFE7135}"/>
            </a:ext>
          </a:extLst>
        </xdr:cNvPr>
        <xdr:cNvSpPr txBox="1"/>
      </xdr:nvSpPr>
      <xdr:spPr>
        <a:xfrm>
          <a:off x="5105565" y="1146298"/>
          <a:ext cx="2906980" cy="154626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endParaRPr lang="es-CO" sz="1100">
            <a:latin typeface="Arial Narrow" panose="020B0606020202030204" pitchFamily="34" charset="0"/>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3</xdr:col>
      <xdr:colOff>171450</xdr:colOff>
      <xdr:row>1</xdr:row>
      <xdr:rowOff>228600</xdr:rowOff>
    </xdr:from>
    <xdr:to>
      <xdr:col>6</xdr:col>
      <xdr:colOff>247650</xdr:colOff>
      <xdr:row>2</xdr:row>
      <xdr:rowOff>1094802</xdr:rowOff>
    </xdr:to>
    <xdr:pic>
      <xdr:nvPicPr>
        <xdr:cNvPr id="2" name="Imagen 1" descr="logUNICORDOBA vigiladoMENmodalidad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695450" y="419100"/>
          <a:ext cx="1219200" cy="1952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115180</xdr:colOff>
      <xdr:row>0</xdr:row>
      <xdr:rowOff>48353</xdr:rowOff>
    </xdr:from>
    <xdr:to>
      <xdr:col>0</xdr:col>
      <xdr:colOff>788715</xdr:colOff>
      <xdr:row>1</xdr:row>
      <xdr:rowOff>487968</xdr:rowOff>
    </xdr:to>
    <xdr:pic>
      <xdr:nvPicPr>
        <xdr:cNvPr id="3" name="Picture 2" descr="https://repositorio.unicordoba.edu.co/bitstream/handle/ucordoba/1917/logUNICORDOBA%20vigiladoMENmodalidad%201.png?sequence=1&amp;isAllowed=y">
          <a:extLst>
            <a:ext uri="{FF2B5EF4-FFF2-40B4-BE49-F238E27FC236}">
              <a16:creationId xmlns:a16="http://schemas.microsoft.com/office/drawing/2014/main" id="{00000000-0008-0000-03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907"/>
        <a:stretch/>
      </xdr:blipFill>
      <xdr:spPr bwMode="auto">
        <a:xfrm>
          <a:off x="115180" y="48353"/>
          <a:ext cx="673535" cy="97002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515055</xdr:colOff>
      <xdr:row>1</xdr:row>
      <xdr:rowOff>42332</xdr:rowOff>
    </xdr:from>
    <xdr:to>
      <xdr:col>1</xdr:col>
      <xdr:colOff>1178278</xdr:colOff>
      <xdr:row>2</xdr:row>
      <xdr:rowOff>497155</xdr:rowOff>
    </xdr:to>
    <xdr:pic>
      <xdr:nvPicPr>
        <xdr:cNvPr id="3" name="Picture 2" descr="https://repositorio.unicordoba.edu.co/bitstream/handle/ucordoba/1917/logUNICORDOBA%20vigiladoMENmodalidad%201.png?sequence=1&amp;isAllowed=y">
          <a:extLst>
            <a:ext uri="{FF2B5EF4-FFF2-40B4-BE49-F238E27FC236}">
              <a16:creationId xmlns:a16="http://schemas.microsoft.com/office/drawing/2014/main" id="{00000000-0008-0000-05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907"/>
        <a:stretch/>
      </xdr:blipFill>
      <xdr:spPr bwMode="auto">
        <a:xfrm>
          <a:off x="1277055" y="225776"/>
          <a:ext cx="663223" cy="998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1053524</xdr:colOff>
      <xdr:row>1</xdr:row>
      <xdr:rowOff>38750</xdr:rowOff>
    </xdr:from>
    <xdr:to>
      <xdr:col>1</xdr:col>
      <xdr:colOff>1700956</xdr:colOff>
      <xdr:row>2</xdr:row>
      <xdr:rowOff>529166</xdr:rowOff>
    </xdr:to>
    <xdr:pic>
      <xdr:nvPicPr>
        <xdr:cNvPr id="2" name="Imagen 1" descr="logUNICORDOBA vigiladoMENmodalidad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815524" y="218667"/>
          <a:ext cx="647432" cy="1030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209551</xdr:colOff>
      <xdr:row>1</xdr:row>
      <xdr:rowOff>105641</xdr:rowOff>
    </xdr:from>
    <xdr:to>
      <xdr:col>1</xdr:col>
      <xdr:colOff>802699</xdr:colOff>
      <xdr:row>2</xdr:row>
      <xdr:rowOff>490393</xdr:rowOff>
    </xdr:to>
    <xdr:pic>
      <xdr:nvPicPr>
        <xdr:cNvPr id="2" name="Imagen 1" descr="logUNICORDOBA vigiladoMENmodalidad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162051" y="296141"/>
          <a:ext cx="593148" cy="927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1" cacheId="8"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13:E225" firstHeaderRow="1" firstDataRow="1" firstDataCol="2"/>
  <pivotFields count="2">
    <pivotField axis="axisRow" compact="0" showAll="0" defaultSubtotal="0">
      <items count="2">
        <item n="Afectación Económica o presupuestal - No seleccionar" x="0"/>
        <item n="Pérdida Reputacional - No seleccionar"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13:C223" totalsRowShown="0" headerRowDxfId="3" dataDxfId="2">
  <autoFilter ref="B213:C223" xr:uid="{00000000-0009-0000-0100-000001000000}"/>
  <tableColumns count="2">
    <tableColumn id="1" xr3:uid="{00000000-0010-0000-0000-000001000000}" name="Criterios" dataDxfId="1"/>
    <tableColumn id="2" xr3:uid="{00000000-0010-0000-00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pivotTable" Target="../pivotTables/pivotTable1.xml"/><Relationship Id="rId4"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B1:H47"/>
  <sheetViews>
    <sheetView topLeftCell="A13" zoomScale="110" zoomScaleNormal="110" workbookViewId="0">
      <selection activeCell="B6" sqref="B6:H7"/>
    </sheetView>
  </sheetViews>
  <sheetFormatPr baseColWidth="10" defaultColWidth="11.453125" defaultRowHeight="14.5" x14ac:dyDescent="0.35"/>
  <cols>
    <col min="1" max="1" width="2.81640625" style="38" customWidth="1"/>
    <col min="2" max="3" width="24.7265625" style="38" customWidth="1"/>
    <col min="4" max="4" width="16" style="38" customWidth="1"/>
    <col min="5" max="5" width="24.7265625" style="38" customWidth="1"/>
    <col min="6" max="6" width="27.7265625" style="38" customWidth="1"/>
    <col min="7" max="8" width="24.7265625" style="38" customWidth="1"/>
    <col min="9" max="16384" width="11.453125" style="38"/>
  </cols>
  <sheetData>
    <row r="1" spans="2:8" ht="42.75" customHeight="1" x14ac:dyDescent="0.35">
      <c r="B1" s="132"/>
      <c r="C1" s="136" t="s">
        <v>191</v>
      </c>
      <c r="D1" s="137"/>
      <c r="E1" s="137"/>
      <c r="F1" s="137"/>
      <c r="G1" s="138"/>
      <c r="H1" s="134" t="s">
        <v>218</v>
      </c>
    </row>
    <row r="2" spans="2:8" ht="42.75" customHeight="1" x14ac:dyDescent="0.35">
      <c r="B2" s="133"/>
      <c r="C2" s="136" t="s">
        <v>192</v>
      </c>
      <c r="D2" s="137"/>
      <c r="E2" s="137"/>
      <c r="F2" s="137"/>
      <c r="G2" s="138"/>
      <c r="H2" s="135"/>
    </row>
    <row r="3" spans="2:8" ht="4.5" customHeight="1" thickBot="1" x14ac:dyDescent="0.4"/>
    <row r="4" spans="2:8" ht="18" x14ac:dyDescent="0.35">
      <c r="B4" s="139" t="s">
        <v>150</v>
      </c>
      <c r="C4" s="140"/>
      <c r="D4" s="140"/>
      <c r="E4" s="140"/>
      <c r="F4" s="140"/>
      <c r="G4" s="140"/>
      <c r="H4" s="141"/>
    </row>
    <row r="5" spans="2:8" x14ac:dyDescent="0.35">
      <c r="B5" s="39"/>
      <c r="C5" s="40"/>
      <c r="D5" s="40"/>
      <c r="E5" s="40"/>
      <c r="F5" s="40"/>
      <c r="G5" s="40"/>
      <c r="H5" s="41"/>
    </row>
    <row r="6" spans="2:8" ht="63" customHeight="1" x14ac:dyDescent="0.35">
      <c r="B6" s="142" t="s">
        <v>193</v>
      </c>
      <c r="C6" s="143"/>
      <c r="D6" s="143"/>
      <c r="E6" s="143"/>
      <c r="F6" s="143"/>
      <c r="G6" s="143"/>
      <c r="H6" s="144"/>
    </row>
    <row r="7" spans="2:8" ht="63" customHeight="1" x14ac:dyDescent="0.35">
      <c r="B7" s="145"/>
      <c r="C7" s="146"/>
      <c r="D7" s="146"/>
      <c r="E7" s="146"/>
      <c r="F7" s="146"/>
      <c r="G7" s="146"/>
      <c r="H7" s="147"/>
    </row>
    <row r="8" spans="2:8" x14ac:dyDescent="0.35">
      <c r="B8" s="148" t="s">
        <v>148</v>
      </c>
      <c r="C8" s="149"/>
      <c r="D8" s="149"/>
      <c r="E8" s="149"/>
      <c r="F8" s="149"/>
      <c r="G8" s="149"/>
      <c r="H8" s="150"/>
    </row>
    <row r="9" spans="2:8" ht="95.25" customHeight="1" x14ac:dyDescent="0.35">
      <c r="B9" s="158" t="s">
        <v>194</v>
      </c>
      <c r="C9" s="159"/>
      <c r="D9" s="159"/>
      <c r="E9" s="159"/>
      <c r="F9" s="159"/>
      <c r="G9" s="159"/>
      <c r="H9" s="160"/>
    </row>
    <row r="10" spans="2:8" x14ac:dyDescent="0.35">
      <c r="B10" s="75"/>
      <c r="C10" s="76"/>
      <c r="D10" s="76"/>
      <c r="E10" s="76"/>
      <c r="F10" s="76"/>
      <c r="G10" s="76"/>
      <c r="H10" s="77"/>
    </row>
    <row r="11" spans="2:8" ht="16.5" customHeight="1" x14ac:dyDescent="0.35">
      <c r="B11" s="151" t="s">
        <v>185</v>
      </c>
      <c r="C11" s="152"/>
      <c r="D11" s="152"/>
      <c r="E11" s="152"/>
      <c r="F11" s="152"/>
      <c r="G11" s="152"/>
      <c r="H11" s="153"/>
    </row>
    <row r="12" spans="2:8" ht="44.25" customHeight="1" x14ac:dyDescent="0.35">
      <c r="B12" s="151"/>
      <c r="C12" s="152"/>
      <c r="D12" s="152"/>
      <c r="E12" s="152"/>
      <c r="F12" s="152"/>
      <c r="G12" s="152"/>
      <c r="H12" s="153"/>
    </row>
    <row r="13" spans="2:8" ht="15" thickBot="1" x14ac:dyDescent="0.4">
      <c r="B13" s="64"/>
      <c r="C13" s="67"/>
      <c r="D13" s="72"/>
      <c r="E13" s="73"/>
      <c r="F13" s="73"/>
      <c r="G13" s="74"/>
      <c r="H13" s="68"/>
    </row>
    <row r="14" spans="2:8" ht="15" thickTop="1" x14ac:dyDescent="0.35">
      <c r="B14" s="64"/>
      <c r="C14" s="154" t="s">
        <v>149</v>
      </c>
      <c r="D14" s="155"/>
      <c r="E14" s="156" t="s">
        <v>186</v>
      </c>
      <c r="F14" s="157"/>
      <c r="G14" s="67"/>
      <c r="H14" s="68"/>
    </row>
    <row r="15" spans="2:8" ht="35.25" customHeight="1" x14ac:dyDescent="0.35">
      <c r="B15" s="64"/>
      <c r="C15" s="161" t="s">
        <v>179</v>
      </c>
      <c r="D15" s="162"/>
      <c r="E15" s="163" t="s">
        <v>184</v>
      </c>
      <c r="F15" s="164"/>
      <c r="G15" s="67"/>
      <c r="H15" s="68"/>
    </row>
    <row r="16" spans="2:8" ht="17.25" customHeight="1" x14ac:dyDescent="0.35">
      <c r="B16" s="64"/>
      <c r="C16" s="161" t="s">
        <v>180</v>
      </c>
      <c r="D16" s="162"/>
      <c r="E16" s="163" t="s">
        <v>182</v>
      </c>
      <c r="F16" s="164"/>
      <c r="G16" s="67"/>
      <c r="H16" s="68"/>
    </row>
    <row r="17" spans="2:8" ht="19.5" customHeight="1" x14ac:dyDescent="0.35">
      <c r="B17" s="64"/>
      <c r="C17" s="161" t="s">
        <v>181</v>
      </c>
      <c r="D17" s="162"/>
      <c r="E17" s="163" t="s">
        <v>183</v>
      </c>
      <c r="F17" s="164"/>
      <c r="G17" s="67"/>
      <c r="H17" s="68"/>
    </row>
    <row r="18" spans="2:8" ht="69.75" customHeight="1" x14ac:dyDescent="0.35">
      <c r="B18" s="64"/>
      <c r="C18" s="161" t="s">
        <v>151</v>
      </c>
      <c r="D18" s="162"/>
      <c r="E18" s="163" t="s">
        <v>152</v>
      </c>
      <c r="F18" s="164"/>
      <c r="G18" s="67"/>
      <c r="H18" s="68"/>
    </row>
    <row r="19" spans="2:8" ht="34.5" customHeight="1" x14ac:dyDescent="0.35">
      <c r="B19" s="64"/>
      <c r="C19" s="165" t="s">
        <v>2</v>
      </c>
      <c r="D19" s="166"/>
      <c r="E19" s="167" t="s">
        <v>187</v>
      </c>
      <c r="F19" s="168"/>
      <c r="G19" s="67"/>
      <c r="H19" s="68"/>
    </row>
    <row r="20" spans="2:8" ht="27.75" customHeight="1" x14ac:dyDescent="0.35">
      <c r="B20" s="64"/>
      <c r="C20" s="165" t="s">
        <v>3</v>
      </c>
      <c r="D20" s="166"/>
      <c r="E20" s="167" t="s">
        <v>188</v>
      </c>
      <c r="F20" s="168"/>
      <c r="G20" s="67"/>
      <c r="H20" s="68"/>
    </row>
    <row r="21" spans="2:8" ht="28.5" customHeight="1" x14ac:dyDescent="0.35">
      <c r="B21" s="64"/>
      <c r="C21" s="165" t="s">
        <v>35</v>
      </c>
      <c r="D21" s="166"/>
      <c r="E21" s="167" t="s">
        <v>189</v>
      </c>
      <c r="F21" s="168"/>
      <c r="G21" s="67"/>
      <c r="H21" s="68"/>
    </row>
    <row r="22" spans="2:8" ht="72.75" customHeight="1" x14ac:dyDescent="0.35">
      <c r="B22" s="64"/>
      <c r="C22" s="165" t="s">
        <v>1</v>
      </c>
      <c r="D22" s="166"/>
      <c r="E22" s="167" t="s">
        <v>190</v>
      </c>
      <c r="F22" s="168"/>
      <c r="G22" s="67"/>
      <c r="H22" s="68"/>
    </row>
    <row r="23" spans="2:8" ht="64.5" customHeight="1" x14ac:dyDescent="0.35">
      <c r="B23" s="64"/>
      <c r="C23" s="165" t="s">
        <v>41</v>
      </c>
      <c r="D23" s="166"/>
      <c r="E23" s="167" t="s">
        <v>154</v>
      </c>
      <c r="F23" s="168"/>
      <c r="G23" s="67"/>
      <c r="H23" s="68"/>
    </row>
    <row r="24" spans="2:8" ht="71.25" customHeight="1" x14ac:dyDescent="0.35">
      <c r="B24" s="64"/>
      <c r="C24" s="165" t="s">
        <v>153</v>
      </c>
      <c r="D24" s="166"/>
      <c r="E24" s="167" t="s">
        <v>155</v>
      </c>
      <c r="F24" s="168"/>
      <c r="G24" s="67"/>
      <c r="H24" s="68"/>
    </row>
    <row r="25" spans="2:8" ht="55.5" customHeight="1" x14ac:dyDescent="0.35">
      <c r="B25" s="64"/>
      <c r="C25" s="172" t="s">
        <v>156</v>
      </c>
      <c r="D25" s="173"/>
      <c r="E25" s="167" t="s">
        <v>157</v>
      </c>
      <c r="F25" s="168"/>
      <c r="G25" s="67"/>
      <c r="H25" s="68"/>
    </row>
    <row r="26" spans="2:8" ht="42" customHeight="1" x14ac:dyDescent="0.35">
      <c r="B26" s="64"/>
      <c r="C26" s="172" t="s">
        <v>39</v>
      </c>
      <c r="D26" s="173"/>
      <c r="E26" s="167" t="s">
        <v>158</v>
      </c>
      <c r="F26" s="168"/>
      <c r="G26" s="67"/>
      <c r="H26" s="68"/>
    </row>
    <row r="27" spans="2:8" ht="59.25" customHeight="1" x14ac:dyDescent="0.35">
      <c r="B27" s="64"/>
      <c r="C27" s="172" t="s">
        <v>147</v>
      </c>
      <c r="D27" s="173"/>
      <c r="E27" s="167" t="s">
        <v>159</v>
      </c>
      <c r="F27" s="168"/>
      <c r="G27" s="67"/>
      <c r="H27" s="68"/>
    </row>
    <row r="28" spans="2:8" ht="23.25" customHeight="1" x14ac:dyDescent="0.35">
      <c r="B28" s="64"/>
      <c r="C28" s="172" t="s">
        <v>11</v>
      </c>
      <c r="D28" s="173"/>
      <c r="E28" s="167" t="s">
        <v>160</v>
      </c>
      <c r="F28" s="168"/>
      <c r="G28" s="67"/>
      <c r="H28" s="68"/>
    </row>
    <row r="29" spans="2:8" ht="30.75" customHeight="1" x14ac:dyDescent="0.35">
      <c r="B29" s="64"/>
      <c r="C29" s="172" t="s">
        <v>164</v>
      </c>
      <c r="D29" s="173"/>
      <c r="E29" s="167" t="s">
        <v>161</v>
      </c>
      <c r="F29" s="168"/>
      <c r="G29" s="67"/>
      <c r="H29" s="68"/>
    </row>
    <row r="30" spans="2:8" ht="35.25" customHeight="1" x14ac:dyDescent="0.35">
      <c r="B30" s="64"/>
      <c r="C30" s="172" t="s">
        <v>165</v>
      </c>
      <c r="D30" s="173"/>
      <c r="E30" s="167" t="s">
        <v>162</v>
      </c>
      <c r="F30" s="168"/>
      <c r="G30" s="67"/>
      <c r="H30" s="68"/>
    </row>
    <row r="31" spans="2:8" ht="33" customHeight="1" x14ac:dyDescent="0.35">
      <c r="B31" s="64"/>
      <c r="C31" s="172" t="s">
        <v>165</v>
      </c>
      <c r="D31" s="173"/>
      <c r="E31" s="167" t="s">
        <v>162</v>
      </c>
      <c r="F31" s="168"/>
      <c r="G31" s="67"/>
      <c r="H31" s="68"/>
    </row>
    <row r="32" spans="2:8" ht="30" customHeight="1" x14ac:dyDescent="0.35">
      <c r="B32" s="64"/>
      <c r="C32" s="172" t="s">
        <v>166</v>
      </c>
      <c r="D32" s="173"/>
      <c r="E32" s="167" t="s">
        <v>163</v>
      </c>
      <c r="F32" s="168"/>
      <c r="G32" s="67"/>
      <c r="H32" s="68"/>
    </row>
    <row r="33" spans="2:8" ht="35.25" customHeight="1" x14ac:dyDescent="0.35">
      <c r="B33" s="64"/>
      <c r="C33" s="172" t="s">
        <v>167</v>
      </c>
      <c r="D33" s="173"/>
      <c r="E33" s="167" t="s">
        <v>168</v>
      </c>
      <c r="F33" s="168"/>
      <c r="G33" s="67"/>
      <c r="H33" s="68"/>
    </row>
    <row r="34" spans="2:8" ht="31.5" customHeight="1" x14ac:dyDescent="0.35">
      <c r="B34" s="64"/>
      <c r="C34" s="172" t="s">
        <v>169</v>
      </c>
      <c r="D34" s="173"/>
      <c r="E34" s="167" t="s">
        <v>170</v>
      </c>
      <c r="F34" s="168"/>
      <c r="G34" s="67"/>
      <c r="H34" s="68"/>
    </row>
    <row r="35" spans="2:8" ht="35.25" customHeight="1" x14ac:dyDescent="0.35">
      <c r="B35" s="64"/>
      <c r="C35" s="172" t="s">
        <v>171</v>
      </c>
      <c r="D35" s="173"/>
      <c r="E35" s="167" t="s">
        <v>172</v>
      </c>
      <c r="F35" s="168"/>
      <c r="G35" s="67"/>
      <c r="H35" s="68"/>
    </row>
    <row r="36" spans="2:8" ht="59.25" customHeight="1" x14ac:dyDescent="0.35">
      <c r="B36" s="64"/>
      <c r="C36" s="172" t="s">
        <v>173</v>
      </c>
      <c r="D36" s="173"/>
      <c r="E36" s="167" t="s">
        <v>174</v>
      </c>
      <c r="F36" s="168"/>
      <c r="G36" s="67"/>
      <c r="H36" s="68"/>
    </row>
    <row r="37" spans="2:8" ht="29.25" customHeight="1" x14ac:dyDescent="0.35">
      <c r="B37" s="64"/>
      <c r="C37" s="172" t="s">
        <v>27</v>
      </c>
      <c r="D37" s="173"/>
      <c r="E37" s="167" t="s">
        <v>175</v>
      </c>
      <c r="F37" s="168"/>
      <c r="G37" s="67"/>
      <c r="H37" s="68"/>
    </row>
    <row r="38" spans="2:8" ht="82.5" customHeight="1" x14ac:dyDescent="0.35">
      <c r="B38" s="64"/>
      <c r="C38" s="172" t="s">
        <v>177</v>
      </c>
      <c r="D38" s="173"/>
      <c r="E38" s="167" t="s">
        <v>176</v>
      </c>
      <c r="F38" s="168"/>
      <c r="G38" s="67"/>
      <c r="H38" s="68"/>
    </row>
    <row r="39" spans="2:8" ht="46.5" customHeight="1" x14ac:dyDescent="0.35">
      <c r="B39" s="64"/>
      <c r="C39" s="172" t="s">
        <v>32</v>
      </c>
      <c r="D39" s="173"/>
      <c r="E39" s="167" t="s">
        <v>178</v>
      </c>
      <c r="F39" s="168"/>
      <c r="G39" s="67"/>
      <c r="H39" s="68"/>
    </row>
    <row r="40" spans="2:8" ht="6.75" customHeight="1" thickBot="1" x14ac:dyDescent="0.4">
      <c r="B40" s="64"/>
      <c r="C40" s="174"/>
      <c r="D40" s="175"/>
      <c r="E40" s="176"/>
      <c r="F40" s="177"/>
      <c r="G40" s="67"/>
      <c r="H40" s="68"/>
    </row>
    <row r="41" spans="2:8" ht="15" thickTop="1" x14ac:dyDescent="0.35">
      <c r="B41" s="64"/>
      <c r="C41" s="65"/>
      <c r="D41" s="65"/>
      <c r="E41" s="66"/>
      <c r="F41" s="66"/>
      <c r="G41" s="67"/>
      <c r="H41" s="68"/>
    </row>
    <row r="42" spans="2:8" ht="44.25" customHeight="1" x14ac:dyDescent="0.35">
      <c r="B42" s="169" t="s">
        <v>195</v>
      </c>
      <c r="C42" s="170"/>
      <c r="D42" s="170"/>
      <c r="E42" s="170"/>
      <c r="F42" s="170"/>
      <c r="G42" s="170"/>
      <c r="H42" s="171"/>
    </row>
    <row r="43" spans="2:8" ht="32.25" customHeight="1" x14ac:dyDescent="0.35">
      <c r="B43" s="169" t="s">
        <v>196</v>
      </c>
      <c r="C43" s="170"/>
      <c r="D43" s="170"/>
      <c r="E43" s="170"/>
      <c r="F43" s="170"/>
      <c r="G43" s="170"/>
      <c r="H43" s="171"/>
    </row>
    <row r="44" spans="2:8" ht="20.25" customHeight="1" x14ac:dyDescent="0.35">
      <c r="B44" s="169" t="s">
        <v>197</v>
      </c>
      <c r="C44" s="170"/>
      <c r="D44" s="170"/>
      <c r="E44" s="170"/>
      <c r="F44" s="170"/>
      <c r="G44" s="170"/>
      <c r="H44" s="171"/>
    </row>
    <row r="45" spans="2:8" ht="20.25" customHeight="1" x14ac:dyDescent="0.35">
      <c r="B45" s="169" t="s">
        <v>198</v>
      </c>
      <c r="C45" s="170"/>
      <c r="D45" s="170"/>
      <c r="E45" s="170"/>
      <c r="F45" s="170"/>
      <c r="G45" s="170"/>
      <c r="H45" s="171"/>
    </row>
    <row r="46" spans="2:8" x14ac:dyDescent="0.35">
      <c r="B46" s="169" t="s">
        <v>199</v>
      </c>
      <c r="C46" s="170"/>
      <c r="D46" s="170"/>
      <c r="E46" s="170"/>
      <c r="F46" s="170"/>
      <c r="G46" s="170"/>
      <c r="H46" s="171"/>
    </row>
    <row r="47" spans="2:8" ht="15" thickBot="1" x14ac:dyDescent="0.4">
      <c r="B47" s="69"/>
      <c r="C47" s="70"/>
      <c r="D47" s="70"/>
      <c r="E47" s="70"/>
      <c r="F47" s="70"/>
      <c r="G47" s="70"/>
      <c r="H47" s="71"/>
    </row>
  </sheetData>
  <mergeCells count="68">
    <mergeCell ref="E30:F30"/>
    <mergeCell ref="C30:D30"/>
    <mergeCell ref="C18:D18"/>
    <mergeCell ref="E18:F18"/>
    <mergeCell ref="C16:D16"/>
    <mergeCell ref="E16:F16"/>
    <mergeCell ref="C17:D17"/>
    <mergeCell ref="E17:F17"/>
    <mergeCell ref="E24:F24"/>
    <mergeCell ref="C24:D24"/>
    <mergeCell ref="C27:D27"/>
    <mergeCell ref="E27:F27"/>
    <mergeCell ref="B43:H43"/>
    <mergeCell ref="C40:D40"/>
    <mergeCell ref="E40:F40"/>
    <mergeCell ref="C39:D39"/>
    <mergeCell ref="E39:F39"/>
    <mergeCell ref="C35:D35"/>
    <mergeCell ref="B42:H42"/>
    <mergeCell ref="C31:D31"/>
    <mergeCell ref="E31:F31"/>
    <mergeCell ref="C32:D32"/>
    <mergeCell ref="E32:F32"/>
    <mergeCell ref="E35:F35"/>
    <mergeCell ref="C36:D36"/>
    <mergeCell ref="C37:D37"/>
    <mergeCell ref="E37:F37"/>
    <mergeCell ref="C38:D38"/>
    <mergeCell ref="E38:F38"/>
    <mergeCell ref="B44:H44"/>
    <mergeCell ref="B45:H45"/>
    <mergeCell ref="B46:H46"/>
    <mergeCell ref="E25:F25"/>
    <mergeCell ref="C25:D25"/>
    <mergeCell ref="C26:D26"/>
    <mergeCell ref="E26:F26"/>
    <mergeCell ref="C28:D28"/>
    <mergeCell ref="E28:F28"/>
    <mergeCell ref="E36:F36"/>
    <mergeCell ref="C34:D34"/>
    <mergeCell ref="C33:D33"/>
    <mergeCell ref="E33:F33"/>
    <mergeCell ref="E34:F34"/>
    <mergeCell ref="C29:D29"/>
    <mergeCell ref="E29:F29"/>
    <mergeCell ref="C15:D15"/>
    <mergeCell ref="E15:F15"/>
    <mergeCell ref="C19:D19"/>
    <mergeCell ref="E19:F19"/>
    <mergeCell ref="C23:D23"/>
    <mergeCell ref="C20:D20"/>
    <mergeCell ref="C21:D21"/>
    <mergeCell ref="C22:D22"/>
    <mergeCell ref="E20:F20"/>
    <mergeCell ref="E21:F21"/>
    <mergeCell ref="E22:F22"/>
    <mergeCell ref="E23:F23"/>
    <mergeCell ref="B6:H7"/>
    <mergeCell ref="B8:H8"/>
    <mergeCell ref="B11:H12"/>
    <mergeCell ref="C14:D14"/>
    <mergeCell ref="E14:F14"/>
    <mergeCell ref="B9:H9"/>
    <mergeCell ref="B1:B2"/>
    <mergeCell ref="H1:H2"/>
    <mergeCell ref="C2:G2"/>
    <mergeCell ref="C1:G1"/>
    <mergeCell ref="B4:H4"/>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D16B-B5E5-4FCD-9389-F7EDC9F7DF9A}">
  <sheetPr>
    <tabColor rgb="FF002060"/>
  </sheetPr>
  <dimension ref="A1:AS19"/>
  <sheetViews>
    <sheetView showGridLines="0" tabSelected="1" zoomScale="77" zoomScaleNormal="77" zoomScaleSheetLayoutView="70" workbookViewId="0">
      <selection activeCell="C1" sqref="C1:L1"/>
    </sheetView>
  </sheetViews>
  <sheetFormatPr baseColWidth="10" defaultColWidth="11.453125" defaultRowHeight="14" x14ac:dyDescent="0.3"/>
  <cols>
    <col min="1" max="1" width="6.81640625" style="2" customWidth="1"/>
    <col min="2" max="2" width="13" style="2" customWidth="1"/>
    <col min="3" max="3" width="19.26953125" style="2" customWidth="1"/>
    <col min="4" max="4" width="14.1796875" style="2" customWidth="1"/>
    <col min="5" max="5" width="28.1796875" style="1" customWidth="1"/>
    <col min="6" max="6" width="16" style="5" customWidth="1"/>
    <col min="7" max="7" width="17.453125" style="1" customWidth="1"/>
    <col min="8" max="8" width="15" style="1" customWidth="1"/>
    <col min="9" max="9" width="11" style="1" customWidth="1"/>
    <col min="10" max="10" width="20.7265625" style="1" customWidth="1"/>
    <col min="11" max="11" width="20.81640625" style="1" customWidth="1"/>
    <col min="12" max="12" width="11.453125" style="1" customWidth="1"/>
    <col min="13" max="13" width="6.54296875" style="1" customWidth="1"/>
    <col min="14" max="14" width="12.26953125" style="1" customWidth="1"/>
    <col min="15" max="16384" width="11.453125" style="1"/>
  </cols>
  <sheetData>
    <row r="1" spans="1:45" ht="42" customHeight="1" x14ac:dyDescent="0.3">
      <c r="A1" s="198"/>
      <c r="B1" s="199"/>
      <c r="C1" s="136" t="s">
        <v>191</v>
      </c>
      <c r="D1" s="137"/>
      <c r="E1" s="137"/>
      <c r="F1" s="137"/>
      <c r="G1" s="137"/>
      <c r="H1" s="137"/>
      <c r="I1" s="137"/>
      <c r="J1" s="137"/>
      <c r="K1" s="137"/>
      <c r="L1" s="138"/>
      <c r="M1" s="184" t="s">
        <v>229</v>
      </c>
      <c r="N1" s="185"/>
    </row>
    <row r="2" spans="1:45" ht="39.75" customHeight="1" x14ac:dyDescent="0.3">
      <c r="A2" s="200"/>
      <c r="B2" s="201"/>
      <c r="C2" s="181" t="s">
        <v>192</v>
      </c>
      <c r="D2" s="182"/>
      <c r="E2" s="182"/>
      <c r="F2" s="182"/>
      <c r="G2" s="182"/>
      <c r="H2" s="182"/>
      <c r="I2" s="182"/>
      <c r="J2" s="182"/>
      <c r="K2" s="182"/>
      <c r="L2" s="183"/>
      <c r="M2" s="186"/>
      <c r="N2" s="187"/>
    </row>
    <row r="3" spans="1:45" ht="6" customHeight="1" x14ac:dyDescent="0.35">
      <c r="A3" s="195"/>
      <c r="B3" s="196"/>
      <c r="C3" s="196"/>
      <c r="D3" s="196"/>
      <c r="E3" s="196"/>
      <c r="F3" s="196"/>
      <c r="G3" s="196"/>
      <c r="H3" s="196"/>
      <c r="I3" s="196"/>
      <c r="J3" s="196"/>
      <c r="K3" s="196"/>
      <c r="L3" s="196"/>
      <c r="M3" s="196"/>
      <c r="N3" s="197"/>
    </row>
    <row r="4" spans="1:45" ht="60" customHeight="1" x14ac:dyDescent="0.3">
      <c r="A4" s="194" t="s">
        <v>36</v>
      </c>
      <c r="B4" s="194"/>
      <c r="C4" s="188" t="s">
        <v>235</v>
      </c>
      <c r="D4" s="189"/>
      <c r="E4" s="190"/>
      <c r="F4" s="211" t="s">
        <v>120</v>
      </c>
      <c r="G4" s="205" t="s">
        <v>277</v>
      </c>
      <c r="H4" s="206"/>
      <c r="I4" s="207"/>
      <c r="J4" s="194" t="s">
        <v>37</v>
      </c>
      <c r="K4" s="194"/>
      <c r="L4" s="193" t="s">
        <v>236</v>
      </c>
      <c r="M4" s="193"/>
      <c r="N4" s="193"/>
      <c r="O4" s="6"/>
      <c r="P4" s="6"/>
      <c r="Q4" s="6"/>
      <c r="R4" s="6"/>
      <c r="S4" s="6"/>
      <c r="T4" s="6"/>
      <c r="U4" s="6"/>
      <c r="V4" s="6"/>
      <c r="W4" s="6"/>
      <c r="X4" s="6"/>
      <c r="Y4" s="6"/>
      <c r="Z4" s="6"/>
      <c r="AA4" s="6"/>
      <c r="AB4" s="6"/>
      <c r="AC4" s="6"/>
      <c r="AD4" s="6"/>
      <c r="AE4" s="6"/>
      <c r="AF4" s="6"/>
      <c r="AG4" s="6"/>
    </row>
    <row r="5" spans="1:45" ht="55.5" customHeight="1" x14ac:dyDescent="0.3">
      <c r="A5" s="202" t="s">
        <v>202</v>
      </c>
      <c r="B5" s="202"/>
      <c r="C5" s="191">
        <v>45399</v>
      </c>
      <c r="D5" s="192"/>
      <c r="E5" s="192"/>
      <c r="F5" s="212"/>
      <c r="G5" s="208"/>
      <c r="H5" s="209"/>
      <c r="I5" s="210"/>
      <c r="J5" s="194"/>
      <c r="K5" s="194"/>
      <c r="L5" s="193"/>
      <c r="M5" s="193"/>
      <c r="N5" s="193"/>
      <c r="O5" s="6"/>
      <c r="P5" s="6"/>
      <c r="Q5" s="6"/>
      <c r="R5" s="6"/>
      <c r="S5" s="6"/>
      <c r="T5" s="6"/>
      <c r="U5" s="6"/>
      <c r="V5" s="6"/>
      <c r="W5" s="6"/>
      <c r="X5" s="6"/>
      <c r="Y5" s="6"/>
      <c r="Z5" s="6"/>
      <c r="AA5" s="6"/>
      <c r="AB5" s="6"/>
      <c r="AC5" s="6"/>
      <c r="AD5" s="6"/>
      <c r="AE5" s="6"/>
      <c r="AF5" s="6"/>
      <c r="AG5" s="6"/>
    </row>
    <row r="6" spans="1:45" ht="3.75" customHeight="1" thickBot="1" x14ac:dyDescent="0.35">
      <c r="A6" s="1"/>
      <c r="B6" s="1"/>
      <c r="C6" s="1"/>
      <c r="D6" s="1"/>
      <c r="F6" s="1"/>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row>
    <row r="7" spans="1:45" ht="26.25" customHeight="1" thickBot="1" x14ac:dyDescent="0.35">
      <c r="A7" s="203" t="s">
        <v>127</v>
      </c>
      <c r="B7" s="204"/>
      <c r="C7" s="204"/>
      <c r="D7" s="204"/>
      <c r="E7" s="204"/>
      <c r="F7" s="204"/>
      <c r="G7" s="178" t="s">
        <v>128</v>
      </c>
      <c r="H7" s="179"/>
      <c r="I7" s="179"/>
      <c r="J7" s="179"/>
      <c r="K7" s="179"/>
      <c r="L7" s="179"/>
      <c r="M7" s="179"/>
      <c r="N7" s="180"/>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row>
    <row r="8" spans="1:45" ht="16.5" customHeight="1" x14ac:dyDescent="0.3">
      <c r="A8" s="227" t="s">
        <v>0</v>
      </c>
      <c r="B8" s="229" t="s">
        <v>2</v>
      </c>
      <c r="C8" s="231" t="s">
        <v>3</v>
      </c>
      <c r="D8" s="231" t="s">
        <v>35</v>
      </c>
      <c r="E8" s="229" t="s">
        <v>1</v>
      </c>
      <c r="F8" s="233" t="s">
        <v>41</v>
      </c>
      <c r="G8" s="235" t="s">
        <v>219</v>
      </c>
      <c r="H8" s="237" t="s">
        <v>31</v>
      </c>
      <c r="I8" s="239" t="s">
        <v>5</v>
      </c>
      <c r="J8" s="218" t="s">
        <v>220</v>
      </c>
      <c r="K8" s="220" t="s">
        <v>82</v>
      </c>
      <c r="L8" s="220" t="s">
        <v>38</v>
      </c>
      <c r="M8" s="223" t="s">
        <v>5</v>
      </c>
      <c r="N8" s="225" t="s">
        <v>39</v>
      </c>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row>
    <row r="9" spans="1:45" s="4" customFormat="1" ht="94.5" customHeight="1" x14ac:dyDescent="0.35">
      <c r="A9" s="228"/>
      <c r="B9" s="230"/>
      <c r="C9" s="232"/>
      <c r="D9" s="232"/>
      <c r="E9" s="230"/>
      <c r="F9" s="234"/>
      <c r="G9" s="236"/>
      <c r="H9" s="238"/>
      <c r="I9" s="240"/>
      <c r="J9" s="219"/>
      <c r="K9" s="221"/>
      <c r="L9" s="222"/>
      <c r="M9" s="224"/>
      <c r="N9" s="226"/>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row>
    <row r="10" spans="1:45" s="3" customFormat="1" ht="163.5" customHeight="1" x14ac:dyDescent="0.35">
      <c r="A10" s="118">
        <v>1</v>
      </c>
      <c r="B10" s="119" t="s">
        <v>121</v>
      </c>
      <c r="C10" s="119" t="s">
        <v>232</v>
      </c>
      <c r="D10" s="119" t="s">
        <v>233</v>
      </c>
      <c r="E10" s="120" t="s">
        <v>234</v>
      </c>
      <c r="F10" s="121" t="s">
        <v>113</v>
      </c>
      <c r="G10" s="122">
        <v>2</v>
      </c>
      <c r="H10" s="124" t="str">
        <f t="shared" ref="H10:H15" si="0">IF(G10&lt;=0,"",IF(G10&lt;=2,"Muy Baja",IF(G10&lt;=24,"Baja",IF(G10&lt;=500,"Media",IF(G10&lt;=5000,"Alta","Muy Alta")))))</f>
        <v>Muy Baja</v>
      </c>
      <c r="I10" s="125">
        <f t="shared" ref="I10:I15" si="1">IF(H10="","",IF(H10="Muy Baja",0.2,IF(H10="Baja",0.4,IF(H10="Media",0.6,IF(H10="Alta",0.8,IF(H10="Muy Alta",1,))))))</f>
        <v>0.2</v>
      </c>
      <c r="J10" s="123" t="s">
        <v>140</v>
      </c>
      <c r="K10" s="82" t="str">
        <f>IF(NOT(ISERROR(MATCH(J10,'Tabla Impacto'!$B$225:$B$227,0))),'Tabla Impacto'!$F$227&amp;"Por favor no seleccionar los criterios de impacto(Afectación Económica o presupuestal y Pérdida Reputacional)",J10)</f>
        <v xml:space="preserve">     El riesgo afecta la imagen de la entidad con algunos usuarios de relevancia frente al logro de los objetivos</v>
      </c>
      <c r="L10" s="124" t="str">
        <f>IF(OR(K10='Tabla Impacto'!$C$15,K10='Tabla Impacto'!$D$15),"Leve",IF(OR(K10='Tabla Impacto'!$C$16,K10='Tabla Impacto'!$D$16),"Menor",IF(OR(K10='Tabla Impacto'!$C$17,K10='Tabla Impacto'!$D$17),"Moderado",IF(OR(K10='Tabla Impacto'!$C$18,K10='Tabla Impacto'!$D$18),"Mayor",IF(OR(K10='Tabla Impacto'!$C$19,K10='Tabla Impacto'!$D$19),"Catastrófico","")))))</f>
        <v>Moderado</v>
      </c>
      <c r="M10" s="125">
        <f t="shared" ref="M10:M15" si="2">IF(L10="","",IF(L10="Leve",0.2,IF(L10="Menor",0.4,IF(L10="Moderado",0.6,IF(L10="Mayor",0.8,IF(L10="Catastrófico",1,))))))</f>
        <v>0.6</v>
      </c>
      <c r="N10" s="88" t="str">
        <f t="shared" ref="N10:N15" si="3">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row>
    <row r="11" spans="1:45" s="3" customFormat="1" ht="125.25" customHeight="1" x14ac:dyDescent="0.35">
      <c r="A11" s="118">
        <v>2</v>
      </c>
      <c r="B11" s="119" t="s">
        <v>121</v>
      </c>
      <c r="C11" s="119" t="s">
        <v>243</v>
      </c>
      <c r="D11" s="119" t="s">
        <v>244</v>
      </c>
      <c r="E11" s="120" t="s">
        <v>245</v>
      </c>
      <c r="F11" s="121" t="s">
        <v>113</v>
      </c>
      <c r="G11" s="122">
        <v>2</v>
      </c>
      <c r="H11" s="124" t="str">
        <f t="shared" si="0"/>
        <v>Muy Baja</v>
      </c>
      <c r="I11" s="125">
        <f t="shared" si="1"/>
        <v>0.2</v>
      </c>
      <c r="J11" s="123" t="s">
        <v>139</v>
      </c>
      <c r="K11" s="82" t="str">
        <f>IF(NOT(ISERROR(MATCH(J11,'Tabla Impacto'!$B$225:$B$227,0))),'Tabla Impacto'!$F$227&amp;"Por favor no seleccionar los criterios de impacto(Afectación Económica o presupuestal y Pérdida Reputacional)",J11)</f>
        <v xml:space="preserve">     El riesgo afecta la imagen de la entidad internamente, de conocimiento general, nivel interno, de junta dircetiva y accionistas y/o de provedores</v>
      </c>
      <c r="L11" s="124" t="str">
        <f>IF(OR(K11='Tabla Impacto'!$C$15,K11='Tabla Impacto'!$D$15),"Leve",IF(OR(K11='Tabla Impacto'!$C$16,K11='Tabla Impacto'!$D$16),"Menor",IF(OR(K11='Tabla Impacto'!$C$17,K11='Tabla Impacto'!$D$17),"Moderado",IF(OR(K11='Tabla Impacto'!$C$18,K11='Tabla Impacto'!$D$18),"Mayor",IF(OR(K11='Tabla Impacto'!$C$19,K11='Tabla Impacto'!$D$19),"Catastrófico","")))))</f>
        <v>Menor</v>
      </c>
      <c r="M11" s="125">
        <f t="shared" si="2"/>
        <v>0.4</v>
      </c>
      <c r="N11" s="88" t="str">
        <f t="shared" si="3"/>
        <v>Bajo</v>
      </c>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row>
    <row r="12" spans="1:45" s="3" customFormat="1" ht="90.75" customHeight="1" x14ac:dyDescent="0.35">
      <c r="A12" s="118">
        <v>3</v>
      </c>
      <c r="B12" s="119" t="s">
        <v>123</v>
      </c>
      <c r="C12" s="119" t="s">
        <v>249</v>
      </c>
      <c r="D12" s="119" t="s">
        <v>250</v>
      </c>
      <c r="E12" s="120" t="s">
        <v>251</v>
      </c>
      <c r="F12" s="121" t="s">
        <v>113</v>
      </c>
      <c r="G12" s="122">
        <v>2</v>
      </c>
      <c r="H12" s="124" t="str">
        <f t="shared" si="0"/>
        <v>Muy Baja</v>
      </c>
      <c r="I12" s="125">
        <f t="shared" si="1"/>
        <v>0.2</v>
      </c>
      <c r="J12" s="123" t="s">
        <v>140</v>
      </c>
      <c r="K12" s="82" t="str">
        <f>IF(NOT(ISERROR(MATCH(J12,'Tabla Impacto'!$B$225:$B$227,0))),'Tabla Impacto'!$F$227&amp;"Por favor no seleccionar los criterios de impacto(Afectación Económica o presupuestal y Pérdida Reputacional)",J12)</f>
        <v xml:space="preserve">     El riesgo afecta la imagen de la entidad con algunos usuarios de relevancia frente al logro de los objetivos</v>
      </c>
      <c r="L12" s="124" t="str">
        <f>IF(OR(K12='Tabla Impacto'!$C$15,K12='Tabla Impacto'!$D$15),"Leve",IF(OR(K12='Tabla Impacto'!$C$16,K12='Tabla Impacto'!$D$16),"Menor",IF(OR(K12='Tabla Impacto'!$C$17,K12='Tabla Impacto'!$D$17),"Moderado",IF(OR(K12='Tabla Impacto'!$C$18,K12='Tabla Impacto'!$D$18),"Mayor",IF(OR(K12='Tabla Impacto'!$C$19,K12='Tabla Impacto'!$D$19),"Catastrófico","")))))</f>
        <v>Moderado</v>
      </c>
      <c r="M12" s="125">
        <f t="shared" si="2"/>
        <v>0.6</v>
      </c>
      <c r="N12" s="88" t="str">
        <f t="shared" si="3"/>
        <v>Moderado</v>
      </c>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row>
    <row r="13" spans="1:45" s="3" customFormat="1" ht="150" customHeight="1" x14ac:dyDescent="0.35">
      <c r="A13" s="118">
        <v>4</v>
      </c>
      <c r="B13" s="119" t="s">
        <v>121</v>
      </c>
      <c r="C13" s="119" t="s">
        <v>254</v>
      </c>
      <c r="D13" s="119" t="s">
        <v>255</v>
      </c>
      <c r="E13" s="120" t="s">
        <v>260</v>
      </c>
      <c r="F13" s="121" t="s">
        <v>115</v>
      </c>
      <c r="G13" s="122">
        <v>3</v>
      </c>
      <c r="H13" s="124" t="str">
        <f t="shared" si="0"/>
        <v>Baja</v>
      </c>
      <c r="I13" s="125">
        <f t="shared" si="1"/>
        <v>0.4</v>
      </c>
      <c r="J13" s="123" t="s">
        <v>138</v>
      </c>
      <c r="K13" s="82" t="str">
        <f>IF(NOT(ISERROR(MATCH(J13,'Tabla Impacto'!$B$225:$B$227,0))),'Tabla Impacto'!$F$227&amp;"Por favor no seleccionar los criterios de impacto(Afectación Económica o presupuestal y Pérdida Reputacional)",J13)</f>
        <v xml:space="preserve">     El riesgo afecta la imagen de alguna área de la organización</v>
      </c>
      <c r="L13" s="124" t="str">
        <f>IF(OR(K13='Tabla Impacto'!$C$15,K13='Tabla Impacto'!$D$15),"Leve",IF(OR(K13='Tabla Impacto'!$C$16,K13='Tabla Impacto'!$D$16),"Menor",IF(OR(K13='Tabla Impacto'!$C$17,K13='Tabla Impacto'!$D$17),"Moderado",IF(OR(K13='Tabla Impacto'!$C$18,K13='Tabla Impacto'!$D$18),"Mayor",IF(OR(K13='Tabla Impacto'!$C$19,K13='Tabla Impacto'!$D$19),"Catastrófico","")))))</f>
        <v>Leve</v>
      </c>
      <c r="M13" s="125">
        <f t="shared" si="2"/>
        <v>0.2</v>
      </c>
      <c r="N13" s="88" t="str">
        <f t="shared" si="3"/>
        <v>Bajo</v>
      </c>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row>
    <row r="14" spans="1:45" s="3" customFormat="1" ht="285.75" customHeight="1" x14ac:dyDescent="0.35">
      <c r="A14" s="118">
        <v>5</v>
      </c>
      <c r="B14" s="119" t="s">
        <v>123</v>
      </c>
      <c r="C14" s="119" t="s">
        <v>256</v>
      </c>
      <c r="D14" s="119" t="s">
        <v>257</v>
      </c>
      <c r="E14" s="120" t="s">
        <v>261</v>
      </c>
      <c r="F14" s="121" t="s">
        <v>115</v>
      </c>
      <c r="G14" s="122">
        <v>168</v>
      </c>
      <c r="H14" s="124" t="str">
        <f t="shared" si="0"/>
        <v>Media</v>
      </c>
      <c r="I14" s="125">
        <f t="shared" si="1"/>
        <v>0.6</v>
      </c>
      <c r="J14" s="123" t="s">
        <v>140</v>
      </c>
      <c r="K14" s="82" t="str">
        <f>IF(NOT(ISERROR(MATCH(J14,'Tabla Impacto'!$B$225:$B$227,0))),'Tabla Impacto'!$F$227&amp;"Por favor no seleccionar los criterios de impacto(Afectación Económica o presupuestal y Pérdida Reputacional)",J14)</f>
        <v xml:space="preserve">     El riesgo afecta la imagen de la entidad con algunos usuarios de relevancia frente al logro de los objetivos</v>
      </c>
      <c r="L14" s="124" t="str">
        <f>IF(OR(K14='Tabla Impacto'!$C$15,K14='Tabla Impacto'!$D$15),"Leve",IF(OR(K14='Tabla Impacto'!$C$16,K14='Tabla Impacto'!$D$16),"Menor",IF(OR(K14='Tabla Impacto'!$C$17,K14='Tabla Impacto'!$D$17),"Moderado",IF(OR(K14='Tabla Impacto'!$C$18,K14='Tabla Impacto'!$D$18),"Mayor",IF(OR(K14='Tabla Impacto'!$C$19,K14='Tabla Impacto'!$D$19),"Catastrófico","")))))</f>
        <v>Moderado</v>
      </c>
      <c r="M14" s="125">
        <f t="shared" si="2"/>
        <v>0.6</v>
      </c>
      <c r="N14" s="88" t="str">
        <f t="shared" si="3"/>
        <v>Moderado</v>
      </c>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row>
    <row r="15" spans="1:45" s="3" customFormat="1" ht="137.25" customHeight="1" x14ac:dyDescent="0.35">
      <c r="A15" s="118">
        <v>6</v>
      </c>
      <c r="B15" s="119" t="s">
        <v>123</v>
      </c>
      <c r="C15" s="119" t="s">
        <v>258</v>
      </c>
      <c r="D15" s="119" t="s">
        <v>259</v>
      </c>
      <c r="E15" s="120" t="s">
        <v>262</v>
      </c>
      <c r="F15" s="121" t="s">
        <v>115</v>
      </c>
      <c r="G15" s="122">
        <v>10</v>
      </c>
      <c r="H15" s="124" t="str">
        <f t="shared" si="0"/>
        <v>Baja</v>
      </c>
      <c r="I15" s="125">
        <f t="shared" si="1"/>
        <v>0.4</v>
      </c>
      <c r="J15" s="123" t="s">
        <v>137</v>
      </c>
      <c r="K15" s="82" t="str">
        <f>IF(NOT(ISERROR(MATCH(J15,'Tabla Impacto'!$B$225:$B$227,0))),'Tabla Impacto'!$F$227&amp;"Por favor no seleccionar los criterios de impacto(Afectación Económica o presupuestal y Pérdida Reputacional)",J15)</f>
        <v xml:space="preserve">     Mayor a 500 SMLMV </v>
      </c>
      <c r="L15" s="124" t="str">
        <f>IF(OR(K15='Tabla Impacto'!$C$15,K15='Tabla Impacto'!$D$15),"Leve",IF(OR(K15='Tabla Impacto'!$C$16,K15='Tabla Impacto'!$D$16),"Menor",IF(OR(K15='Tabla Impacto'!$C$17,K15='Tabla Impacto'!$D$17),"Moderado",IF(OR(K15='Tabla Impacto'!$C$18,K15='Tabla Impacto'!$D$18),"Mayor",IF(OR(K15='Tabla Impacto'!$C$19,K15='Tabla Impacto'!$D$19),"Catastrófico","")))))</f>
        <v>Catastrófico</v>
      </c>
      <c r="M15" s="125">
        <f t="shared" si="2"/>
        <v>1</v>
      </c>
      <c r="N15" s="88" t="str">
        <f t="shared" si="3"/>
        <v>Extremo</v>
      </c>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row>
    <row r="16" spans="1:45" s="3" customFormat="1" ht="36.75" customHeight="1" x14ac:dyDescent="0.35">
      <c r="A16" s="213"/>
      <c r="B16" s="214"/>
      <c r="C16" s="214"/>
      <c r="D16" s="214"/>
      <c r="E16" s="214"/>
      <c r="F16" s="214"/>
      <c r="G16" s="214"/>
      <c r="H16" s="214"/>
      <c r="I16" s="214"/>
      <c r="J16" s="214"/>
      <c r="K16" s="214"/>
      <c r="L16" s="214"/>
      <c r="M16" s="214"/>
      <c r="N16" s="214"/>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row>
    <row r="17" spans="1:14" ht="49.5" customHeight="1" x14ac:dyDescent="0.3">
      <c r="A17" s="215" t="s">
        <v>203</v>
      </c>
      <c r="B17" s="216"/>
      <c r="C17" s="216"/>
      <c r="D17" s="216"/>
      <c r="E17" s="216"/>
      <c r="F17" s="216"/>
      <c r="G17" s="216"/>
      <c r="H17" s="216"/>
      <c r="I17" s="216"/>
      <c r="J17" s="216"/>
      <c r="K17" s="216"/>
      <c r="L17" s="216"/>
      <c r="M17" s="216"/>
      <c r="N17" s="217"/>
    </row>
    <row r="18" spans="1:14" x14ac:dyDescent="0.3">
      <c r="A18" s="83" t="s">
        <v>129</v>
      </c>
      <c r="B18" s="83"/>
      <c r="C18" s="83"/>
      <c r="D18" s="83"/>
      <c r="E18" s="83"/>
      <c r="F18" s="83"/>
      <c r="G18" s="83"/>
      <c r="H18" s="83"/>
      <c r="I18" s="83"/>
      <c r="J18" s="83"/>
      <c r="K18" s="83"/>
      <c r="L18" s="83"/>
      <c r="M18" s="83"/>
      <c r="N18" s="83"/>
    </row>
    <row r="19" spans="1:14" x14ac:dyDescent="0.3">
      <c r="A19" s="84"/>
      <c r="B19" s="84"/>
      <c r="C19" s="84"/>
      <c r="D19" s="84"/>
      <c r="E19" s="84"/>
      <c r="F19" s="84"/>
      <c r="G19" s="84"/>
      <c r="H19" s="84"/>
      <c r="I19" s="84"/>
      <c r="J19" s="84"/>
      <c r="K19" s="84"/>
      <c r="L19" s="84"/>
      <c r="M19" s="84"/>
      <c r="N19" s="84"/>
    </row>
  </sheetData>
  <sheetProtection formatCells="0" formatColumns="0" formatRows="0"/>
  <dataConsolidate/>
  <mergeCells count="31">
    <mergeCell ref="A16:N16"/>
    <mergeCell ref="A17:N17"/>
    <mergeCell ref="J8:J9"/>
    <mergeCell ref="K8:K9"/>
    <mergeCell ref="L8:L9"/>
    <mergeCell ref="M8:M9"/>
    <mergeCell ref="N8:N9"/>
    <mergeCell ref="A8:A9"/>
    <mergeCell ref="B8:B9"/>
    <mergeCell ref="C8:C9"/>
    <mergeCell ref="D8:D9"/>
    <mergeCell ref="E8:E9"/>
    <mergeCell ref="F8:F9"/>
    <mergeCell ref="G8:G9"/>
    <mergeCell ref="H8:H9"/>
    <mergeCell ref="I8:I9"/>
    <mergeCell ref="G7:N7"/>
    <mergeCell ref="C2:L2"/>
    <mergeCell ref="M1:N2"/>
    <mergeCell ref="C4:E4"/>
    <mergeCell ref="C5:E5"/>
    <mergeCell ref="L4:N5"/>
    <mergeCell ref="J4:K5"/>
    <mergeCell ref="A3:N3"/>
    <mergeCell ref="A1:B2"/>
    <mergeCell ref="C1:L1"/>
    <mergeCell ref="A5:B5"/>
    <mergeCell ref="A7:F7"/>
    <mergeCell ref="A4:B4"/>
    <mergeCell ref="G4:I5"/>
    <mergeCell ref="F4:F5"/>
  </mergeCells>
  <phoneticPr fontId="60" type="noConversion"/>
  <conditionalFormatting sqref="H10:H15">
    <cfRule type="cellIs" dxfId="36" priority="10" operator="equal">
      <formula>"Muy Alta"</formula>
    </cfRule>
    <cfRule type="cellIs" dxfId="35" priority="11" operator="equal">
      <formula>"Alta"</formula>
    </cfRule>
    <cfRule type="cellIs" dxfId="34" priority="12" operator="equal">
      <formula>"Media"</formula>
    </cfRule>
    <cfRule type="cellIs" dxfId="33" priority="13" operator="equal">
      <formula>"Baja"</formula>
    </cfRule>
    <cfRule type="cellIs" dxfId="32" priority="14" operator="equal">
      <formula>"Muy Baja"</formula>
    </cfRule>
  </conditionalFormatting>
  <conditionalFormatting sqref="K10:K15">
    <cfRule type="containsText" dxfId="31" priority="57" operator="containsText" text="❌">
      <formula>NOT(ISERROR(SEARCH("❌",K10)))</formula>
    </cfRule>
  </conditionalFormatting>
  <conditionalFormatting sqref="L10:L15">
    <cfRule type="cellIs" dxfId="30" priority="5" operator="equal">
      <formula>"Catastrófico"</formula>
    </cfRule>
    <cfRule type="cellIs" dxfId="29" priority="6" operator="equal">
      <formula>"Mayor"</formula>
    </cfRule>
    <cfRule type="cellIs" dxfId="28" priority="7" operator="equal">
      <formula>"Moderado"</formula>
    </cfRule>
    <cfRule type="cellIs" dxfId="27" priority="8" operator="equal">
      <formula>"Menor"</formula>
    </cfRule>
    <cfRule type="cellIs" dxfId="26" priority="9" operator="equal">
      <formula>"Leve"</formula>
    </cfRule>
  </conditionalFormatting>
  <conditionalFormatting sqref="N10:N15">
    <cfRule type="cellIs" dxfId="25" priority="1" operator="equal">
      <formula>"Extremo"</formula>
    </cfRule>
    <cfRule type="cellIs" dxfId="24" priority="2" operator="equal">
      <formula>"Alto"</formula>
    </cfRule>
    <cfRule type="cellIs" dxfId="23" priority="3" operator="equal">
      <formula>"Moderado"</formula>
    </cfRule>
    <cfRule type="cellIs" dxfId="22" priority="4" operator="equal">
      <formula>"Bajo"</formula>
    </cfRule>
  </conditionalFormatting>
  <pageMargins left="0.7" right="0.7" top="0.75" bottom="0.75" header="0.3" footer="0.3"/>
  <pageSetup scale="42"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42223AE6-A3D3-42C4-8056-76FCAB4BB3C3}">
          <x14:formula1>
            <xm:f>'Tabla Impacto'!$F$214:$F$225</xm:f>
          </x14:formula1>
          <xm:sqref>J10:J15</xm:sqref>
        </x14:dataValidation>
        <x14:dataValidation type="list" allowBlank="1" showInputMessage="1" showErrorMessage="1" xr:uid="{8AE1A895-51DF-4F1A-8961-482226429F3E}">
          <x14:formula1>
            <xm:f>'Opciones Tratamiento'!$E$2:$E$4</xm:f>
          </x14:formula1>
          <xm:sqref>B10:B15</xm:sqref>
        </x14:dataValidation>
        <x14:dataValidation type="list" allowBlank="1" showInputMessage="1" showErrorMessage="1" xr:uid="{1ACC7AF0-0120-4132-9794-CFE32017BE89}">
          <x14:formula1>
            <xm:f>'Opciones Tratamiento'!$B$13:$B$19</xm:f>
          </x14:formula1>
          <xm:sqref>F10:F15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2:CU133"/>
  <sheetViews>
    <sheetView showGridLines="0" topLeftCell="A4" zoomScale="40" zoomScaleNormal="40" workbookViewId="0">
      <selection activeCell="J37" sqref="J37:AM38"/>
    </sheetView>
  </sheetViews>
  <sheetFormatPr baseColWidth="10" defaultRowHeight="14.5" x14ac:dyDescent="0.35"/>
  <cols>
    <col min="2" max="39" width="5.7265625" customWidth="1"/>
    <col min="41" max="46" width="5.7265625" customWidth="1"/>
  </cols>
  <sheetData>
    <row r="2" spans="1:99" ht="85.5" customHeight="1" x14ac:dyDescent="0.35">
      <c r="B2" s="295"/>
      <c r="C2" s="295"/>
      <c r="D2" s="295"/>
      <c r="E2" s="295"/>
      <c r="F2" s="295"/>
      <c r="G2" s="295"/>
      <c r="H2" s="295"/>
      <c r="I2" s="295"/>
      <c r="J2" s="296" t="s">
        <v>191</v>
      </c>
      <c r="K2" s="296"/>
      <c r="L2" s="296"/>
      <c r="M2" s="296"/>
      <c r="N2" s="296"/>
      <c r="O2" s="296"/>
      <c r="P2" s="296"/>
      <c r="Q2" s="296"/>
      <c r="R2" s="296"/>
      <c r="S2" s="296"/>
      <c r="T2" s="296"/>
      <c r="U2" s="296"/>
      <c r="V2" s="296"/>
      <c r="W2" s="296"/>
      <c r="X2" s="296"/>
      <c r="Y2" s="296"/>
      <c r="Z2" s="296"/>
      <c r="AA2" s="296"/>
      <c r="AB2" s="296"/>
      <c r="AC2" s="296"/>
      <c r="AD2" s="296"/>
      <c r="AE2" s="296"/>
      <c r="AF2" s="296"/>
      <c r="AG2" s="296"/>
      <c r="AH2" s="296"/>
      <c r="AI2" s="296"/>
      <c r="AJ2" s="296"/>
      <c r="AK2" s="296"/>
      <c r="AL2" s="296"/>
      <c r="AM2" s="296"/>
      <c r="AN2" s="298" t="s">
        <v>228</v>
      </c>
      <c r="AO2" s="299"/>
      <c r="AP2" s="299"/>
      <c r="AQ2" s="299"/>
      <c r="AR2" s="299"/>
      <c r="AS2" s="299"/>
      <c r="AT2" s="299"/>
    </row>
    <row r="3" spans="1:99" ht="103.5" customHeight="1" x14ac:dyDescent="0.35">
      <c r="B3" s="295"/>
      <c r="C3" s="295"/>
      <c r="D3" s="295"/>
      <c r="E3" s="295"/>
      <c r="F3" s="295"/>
      <c r="G3" s="295"/>
      <c r="H3" s="295"/>
      <c r="I3" s="295"/>
      <c r="J3" s="297" t="s">
        <v>192</v>
      </c>
      <c r="K3" s="297"/>
      <c r="L3" s="297"/>
      <c r="M3" s="297"/>
      <c r="N3" s="297"/>
      <c r="O3" s="297"/>
      <c r="P3" s="297"/>
      <c r="Q3" s="297"/>
      <c r="R3" s="297"/>
      <c r="S3" s="297"/>
      <c r="T3" s="297"/>
      <c r="U3" s="297"/>
      <c r="V3" s="297"/>
      <c r="W3" s="297"/>
      <c r="X3" s="297"/>
      <c r="Y3" s="297"/>
      <c r="Z3" s="297"/>
      <c r="AA3" s="297"/>
      <c r="AB3" s="297"/>
      <c r="AC3" s="297"/>
      <c r="AD3" s="297"/>
      <c r="AE3" s="297"/>
      <c r="AF3" s="297"/>
      <c r="AG3" s="297"/>
      <c r="AH3" s="297"/>
      <c r="AI3" s="297"/>
      <c r="AJ3" s="297"/>
      <c r="AK3" s="297"/>
      <c r="AL3" s="297"/>
      <c r="AM3" s="297"/>
      <c r="AN3" s="299"/>
      <c r="AO3" s="299"/>
      <c r="AP3" s="299"/>
      <c r="AQ3" s="299"/>
      <c r="AR3" s="299"/>
      <c r="AS3" s="299"/>
      <c r="AT3" s="299"/>
    </row>
    <row r="5" spans="1:99" ht="18" customHeight="1" x14ac:dyDescent="0.35">
      <c r="A5" s="38"/>
      <c r="B5" s="243" t="s">
        <v>145</v>
      </c>
      <c r="C5" s="243"/>
      <c r="D5" s="243"/>
      <c r="E5" s="243"/>
      <c r="F5" s="243"/>
      <c r="G5" s="243"/>
      <c r="H5" s="243"/>
      <c r="I5" s="243"/>
      <c r="J5" s="339" t="s">
        <v>2</v>
      </c>
      <c r="K5" s="339"/>
      <c r="L5" s="339"/>
      <c r="M5" s="339"/>
      <c r="N5" s="339"/>
      <c r="O5" s="339"/>
      <c r="P5" s="339"/>
      <c r="Q5" s="339"/>
      <c r="R5" s="339"/>
      <c r="S5" s="339"/>
      <c r="T5" s="339"/>
      <c r="U5" s="339"/>
      <c r="V5" s="339"/>
      <c r="W5" s="339"/>
      <c r="X5" s="339"/>
      <c r="Y5" s="339"/>
      <c r="Z5" s="339"/>
      <c r="AA5" s="339"/>
      <c r="AB5" s="339"/>
      <c r="AC5" s="339"/>
      <c r="AD5" s="339"/>
      <c r="AE5" s="339"/>
      <c r="AF5" s="339"/>
      <c r="AG5" s="339"/>
      <c r="AH5" s="339"/>
      <c r="AI5" s="339"/>
      <c r="AJ5" s="339"/>
      <c r="AK5" s="339"/>
      <c r="AL5" s="339"/>
      <c r="AM5" s="339"/>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row>
    <row r="6" spans="1:99" ht="18.75" customHeight="1" x14ac:dyDescent="0.35">
      <c r="A6" s="38"/>
      <c r="B6" s="243"/>
      <c r="C6" s="243"/>
      <c r="D6" s="243"/>
      <c r="E6" s="243"/>
      <c r="F6" s="243"/>
      <c r="G6" s="243"/>
      <c r="H6" s="243"/>
      <c r="I6" s="243"/>
      <c r="J6" s="339"/>
      <c r="K6" s="339"/>
      <c r="L6" s="339"/>
      <c r="M6" s="339"/>
      <c r="N6" s="339"/>
      <c r="O6" s="339"/>
      <c r="P6" s="339"/>
      <c r="Q6" s="339"/>
      <c r="R6" s="339"/>
      <c r="S6" s="339"/>
      <c r="T6" s="339"/>
      <c r="U6" s="339"/>
      <c r="V6" s="339"/>
      <c r="W6" s="339"/>
      <c r="X6" s="339"/>
      <c r="Y6" s="339"/>
      <c r="Z6" s="339"/>
      <c r="AA6" s="339"/>
      <c r="AB6" s="339"/>
      <c r="AC6" s="339"/>
      <c r="AD6" s="339"/>
      <c r="AE6" s="339"/>
      <c r="AF6" s="339"/>
      <c r="AG6" s="339"/>
      <c r="AH6" s="339"/>
      <c r="AI6" s="339"/>
      <c r="AJ6" s="339"/>
      <c r="AK6" s="339"/>
      <c r="AL6" s="339"/>
      <c r="AM6" s="339"/>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row>
    <row r="7" spans="1:99" ht="15" customHeight="1" x14ac:dyDescent="0.35">
      <c r="A7" s="38"/>
      <c r="B7" s="243"/>
      <c r="C7" s="243"/>
      <c r="D7" s="243"/>
      <c r="E7" s="243"/>
      <c r="F7" s="243"/>
      <c r="G7" s="243"/>
      <c r="H7" s="243"/>
      <c r="I7" s="243"/>
      <c r="J7" s="339"/>
      <c r="K7" s="339"/>
      <c r="L7" s="339"/>
      <c r="M7" s="339"/>
      <c r="N7" s="339"/>
      <c r="O7" s="339"/>
      <c r="P7" s="339"/>
      <c r="Q7" s="339"/>
      <c r="R7" s="339"/>
      <c r="S7" s="339"/>
      <c r="T7" s="339"/>
      <c r="U7" s="339"/>
      <c r="V7" s="339"/>
      <c r="W7" s="339"/>
      <c r="X7" s="339"/>
      <c r="Y7" s="339"/>
      <c r="Z7" s="339"/>
      <c r="AA7" s="339"/>
      <c r="AB7" s="339"/>
      <c r="AC7" s="339"/>
      <c r="AD7" s="339"/>
      <c r="AE7" s="339"/>
      <c r="AF7" s="339"/>
      <c r="AG7" s="339"/>
      <c r="AH7" s="339"/>
      <c r="AI7" s="339"/>
      <c r="AJ7" s="339"/>
      <c r="AK7" s="339"/>
      <c r="AL7" s="339"/>
      <c r="AM7" s="339"/>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row>
    <row r="8" spans="1:99" ht="15" thickBot="1" x14ac:dyDescent="0.4">
      <c r="A8" s="38"/>
      <c r="B8" s="38"/>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row>
    <row r="9" spans="1:99" ht="15" customHeight="1" x14ac:dyDescent="0.35">
      <c r="A9" s="38"/>
      <c r="B9" s="300" t="s">
        <v>4</v>
      </c>
      <c r="C9" s="300"/>
      <c r="D9" s="301"/>
      <c r="E9" s="280" t="s">
        <v>106</v>
      </c>
      <c r="F9" s="282"/>
      <c r="G9" s="282"/>
      <c r="H9" s="282"/>
      <c r="I9" s="283"/>
      <c r="J9" s="241" t="str">
        <f>IF(AND('Mapa inherente'!$H$10="Muy Alta",'Mapa inherente'!$L$10="Leve"),CONCATENATE("R",'Mapa inherente'!$A$10),"")</f>
        <v/>
      </c>
      <c r="K9" s="241"/>
      <c r="L9" s="241" t="str">
        <f>IF(AND('Mapa inherente'!$H$11="Muy Alta",'Mapa inherente'!$L$11="Leve"),CONCATENATE("R",'Mapa inherente'!$A$11),"")</f>
        <v/>
      </c>
      <c r="M9" s="241"/>
      <c r="N9" s="241" t="str">
        <f>IF(AND('Mapa inherente'!$H$12="Muy Alta",'Mapa inherente'!$L$12="Leve"),CONCATENATE("R",'Mapa inherente'!$A$12),"")</f>
        <v/>
      </c>
      <c r="O9" s="293"/>
      <c r="P9" s="241" t="str">
        <f>IF(AND('Mapa inherente'!$H$10="Muy Alta",'Mapa inherente'!$L$10="Menor"),CONCATENATE("R",'Mapa inherente'!$A$10),"")</f>
        <v/>
      </c>
      <c r="Q9" s="241"/>
      <c r="R9" s="241" t="str">
        <f>IF(AND('Mapa inherente'!$H$11="Muy Alta",'Mapa inherente'!$L$11="Menor"),CONCATENATE("R",'Mapa inherente'!$A$11),"")</f>
        <v/>
      </c>
      <c r="S9" s="241"/>
      <c r="T9" s="241" t="str">
        <f>IF(AND('Mapa inherente'!$H$12="Muy Alta",'Mapa inherente'!$L$12="Menor"),CONCATENATE("R",'Mapa inherente'!$A$12),"")</f>
        <v/>
      </c>
      <c r="U9" s="293"/>
      <c r="V9" s="241" t="str">
        <f>IF(AND('Mapa inherente'!$H$10="Muy Alta",'Mapa inherente'!$L$10="Moderado"),CONCATENATE("R",'Mapa inherente'!$A$10),"")</f>
        <v/>
      </c>
      <c r="W9" s="241"/>
      <c r="X9" s="241" t="str">
        <f>IF(AND('Mapa inherente'!$H$11="Muy Alta",'Mapa inherente'!$L$11="Moderado"),CONCATENATE("R",'Mapa inherente'!$A$11),"")</f>
        <v/>
      </c>
      <c r="Y9" s="241"/>
      <c r="Z9" s="241" t="str">
        <f>IF(AND('Mapa inherente'!$H$12="Muy Alta",'Mapa inherente'!$L$12="Moderado"),CONCATENATE("R",'Mapa inherente'!$A$12),"")</f>
        <v/>
      </c>
      <c r="AA9" s="293"/>
      <c r="AB9" s="241" t="str">
        <f>IF(AND('Mapa inherente'!$H$10="Muy Alta",'Mapa inherente'!$L$10="Mayor"),CONCATENATE("R",'Mapa inherente'!$A$10),"")</f>
        <v/>
      </c>
      <c r="AC9" s="241"/>
      <c r="AD9" s="241" t="str">
        <f>IF(AND('Mapa inherente'!$H$11="Muy Alta",'Mapa inherente'!$L$11="Mayor"),CONCATENATE("R",'Mapa inherente'!$A$11),"")</f>
        <v/>
      </c>
      <c r="AE9" s="241"/>
      <c r="AF9" s="241" t="str">
        <f>IF(AND('Mapa inherente'!$H$12="Muy Alta",'Mapa inherente'!$L$12="Mayor"),CONCATENATE("R",'Mapa inherente'!$A$12),"")</f>
        <v/>
      </c>
      <c r="AG9" s="293"/>
      <c r="AH9" s="269" t="str">
        <f>IF(AND('Mapa inherente'!$H$10="Muy Alta",'Mapa inherente'!$L$10="Catastrófico"),CONCATENATE("R",'Mapa inherente'!$A$10),"")</f>
        <v/>
      </c>
      <c r="AI9" s="269"/>
      <c r="AJ9" s="269" t="str">
        <f>IF(AND('Mapa inherente'!$H$11="Muy Alta",'Mapa inherente'!$L$11="Catastrófico"),CONCATENATE("R",'Mapa inherente'!$A$11),"")</f>
        <v/>
      </c>
      <c r="AK9" s="269"/>
      <c r="AL9" s="269" t="str">
        <f>IF(AND('Mapa inherente'!$H$12="Muy Alta",'Mapa inherente'!$L$12="Catastrófico"),CONCATENATE("R",'Mapa inherente'!$A$12),"")</f>
        <v/>
      </c>
      <c r="AM9" s="270"/>
      <c r="AO9" s="302" t="s">
        <v>70</v>
      </c>
      <c r="AP9" s="303"/>
      <c r="AQ9" s="303"/>
      <c r="AR9" s="303"/>
      <c r="AS9" s="303"/>
      <c r="AT9" s="304"/>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row>
    <row r="10" spans="1:99" ht="15" customHeight="1" x14ac:dyDescent="0.35">
      <c r="A10" s="38"/>
      <c r="B10" s="300"/>
      <c r="C10" s="300"/>
      <c r="D10" s="301"/>
      <c r="E10" s="284"/>
      <c r="F10" s="285"/>
      <c r="G10" s="285"/>
      <c r="H10" s="285"/>
      <c r="I10" s="286"/>
      <c r="J10" s="242"/>
      <c r="K10" s="242"/>
      <c r="L10" s="242"/>
      <c r="M10" s="242"/>
      <c r="N10" s="242"/>
      <c r="O10" s="294"/>
      <c r="P10" s="242"/>
      <c r="Q10" s="242"/>
      <c r="R10" s="242"/>
      <c r="S10" s="242"/>
      <c r="T10" s="242"/>
      <c r="U10" s="294"/>
      <c r="V10" s="242"/>
      <c r="W10" s="242"/>
      <c r="X10" s="242"/>
      <c r="Y10" s="242"/>
      <c r="Z10" s="242"/>
      <c r="AA10" s="294"/>
      <c r="AB10" s="242"/>
      <c r="AC10" s="242"/>
      <c r="AD10" s="242"/>
      <c r="AE10" s="242"/>
      <c r="AF10" s="242"/>
      <c r="AG10" s="294"/>
      <c r="AH10" s="263"/>
      <c r="AI10" s="263"/>
      <c r="AJ10" s="263"/>
      <c r="AK10" s="263"/>
      <c r="AL10" s="263"/>
      <c r="AM10" s="266"/>
      <c r="AN10" s="38"/>
      <c r="AO10" s="305"/>
      <c r="AP10" s="306"/>
      <c r="AQ10" s="306"/>
      <c r="AR10" s="306"/>
      <c r="AS10" s="306"/>
      <c r="AT10" s="307"/>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row>
    <row r="11" spans="1:99" ht="15" customHeight="1" x14ac:dyDescent="0.35">
      <c r="A11" s="38"/>
      <c r="B11" s="300"/>
      <c r="C11" s="300"/>
      <c r="D11" s="301"/>
      <c r="E11" s="284"/>
      <c r="F11" s="285"/>
      <c r="G11" s="285"/>
      <c r="H11" s="285"/>
      <c r="I11" s="286"/>
      <c r="J11" s="290" t="str">
        <f>IF(AND('Mapa inherente'!$H$13="Muy Alta",'Mapa inherente'!$L$13="Leve"),CONCATENATE("R",'Mapa inherente'!$A$13),"")</f>
        <v/>
      </c>
      <c r="K11" s="242"/>
      <c r="L11" s="242" t="str">
        <f>IF(AND('Mapa inherente'!$H$14="Muy Alta",'Mapa inherente'!$L$14="Leve"),CONCATENATE("R",'Mapa inherente'!$A$14),"")</f>
        <v/>
      </c>
      <c r="M11" s="242"/>
      <c r="N11" s="242" t="str">
        <f>IF(AND('Mapa inherente'!$H$15="Muy Alta",'Mapa inherente'!$L$15="Leve"),CONCATENATE("R",'Mapa inherente'!$A$15),"")</f>
        <v/>
      </c>
      <c r="O11" s="294"/>
      <c r="P11" s="290" t="str">
        <f>IF(AND('Mapa inherente'!$H$13="Muy Alta",'Mapa inherente'!$L$13="Menor"),CONCATENATE("R",'Mapa inherente'!$A$13),"")</f>
        <v/>
      </c>
      <c r="Q11" s="242"/>
      <c r="R11" s="242" t="str">
        <f>IF(AND('Mapa inherente'!$H$14="Muy Alta",'Mapa inherente'!$L$14="Menor"),CONCATENATE("R",'Mapa inherente'!$A$14),"")</f>
        <v/>
      </c>
      <c r="S11" s="242"/>
      <c r="T11" s="242" t="str">
        <f>IF(AND('Mapa inherente'!$H$15="Muy Alta",'Mapa inherente'!$L$15="Menor"),CONCATENATE("R",'Mapa inherente'!$A$15),"")</f>
        <v/>
      </c>
      <c r="U11" s="294"/>
      <c r="V11" s="290" t="str">
        <f>IF(AND('Mapa inherente'!$H$13="Muy Alta",'Mapa inherente'!$L$13="Moderado"),CONCATENATE("R",'Mapa inherente'!$A$13),"")</f>
        <v/>
      </c>
      <c r="W11" s="242"/>
      <c r="X11" s="242" t="str">
        <f>IF(AND('Mapa inherente'!$H$14="Muy Alta",'Mapa inherente'!$L$14="Moderado"),CONCATENATE("R",'Mapa inherente'!$A$14),"")</f>
        <v/>
      </c>
      <c r="Y11" s="242"/>
      <c r="Z11" s="242" t="str">
        <f>IF(AND('Mapa inherente'!$H$15="Muy Alta",'Mapa inherente'!$L$15="Moderado"),CONCATENATE("R",'Mapa inherente'!$A$15),"")</f>
        <v/>
      </c>
      <c r="AA11" s="294"/>
      <c r="AB11" s="290" t="str">
        <f>IF(AND('Mapa inherente'!$H$13="Muy Alta",'Mapa inherente'!$L$13="Mayor"),CONCATENATE("R",'Mapa inherente'!$A$13),"")</f>
        <v/>
      </c>
      <c r="AC11" s="242"/>
      <c r="AD11" s="242" t="str">
        <f>IF(AND('Mapa inherente'!$H$14="Muy Alta",'Mapa inherente'!$L$14="Mayor"),CONCATENATE("R",'Mapa inherente'!$A$14),"")</f>
        <v/>
      </c>
      <c r="AE11" s="242"/>
      <c r="AF11" s="242" t="str">
        <f>IF(AND('Mapa inherente'!$H$15="Muy Alta",'Mapa inherente'!$L$15="Mayor"),CONCATENATE("R",'Mapa inherente'!$A$15),"")</f>
        <v/>
      </c>
      <c r="AG11" s="294"/>
      <c r="AH11" s="262" t="str">
        <f>IF(AND('Mapa inherente'!$H$13="Muy Alta",'Mapa inherente'!$L$13="Catastrófico"),CONCATENATE("R",'Mapa inherente'!$A$13),"")</f>
        <v/>
      </c>
      <c r="AI11" s="263"/>
      <c r="AJ11" s="263" t="str">
        <f>IF(AND('Mapa inherente'!$H$14="Muy Alta",'Mapa inherente'!$L$14="Catastrófico"),CONCATENATE("R",'Mapa inherente'!$A$14),"")</f>
        <v/>
      </c>
      <c r="AK11" s="263"/>
      <c r="AL11" s="263" t="str">
        <f>IF(AND('Mapa inherente'!$H$15="Muy Alta",'Mapa inherente'!$L$15="Catastrófico"),CONCATENATE("R",'Mapa inherente'!$A$15),"")</f>
        <v/>
      </c>
      <c r="AM11" s="266"/>
      <c r="AN11" s="38"/>
      <c r="AO11" s="305"/>
      <c r="AP11" s="306"/>
      <c r="AQ11" s="306"/>
      <c r="AR11" s="306"/>
      <c r="AS11" s="306"/>
      <c r="AT11" s="307"/>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row>
    <row r="12" spans="1:99" ht="15" customHeight="1" x14ac:dyDescent="0.35">
      <c r="A12" s="38"/>
      <c r="B12" s="300"/>
      <c r="C12" s="300"/>
      <c r="D12" s="301"/>
      <c r="E12" s="284"/>
      <c r="F12" s="285"/>
      <c r="G12" s="285"/>
      <c r="H12" s="285"/>
      <c r="I12" s="286"/>
      <c r="J12" s="290"/>
      <c r="K12" s="242"/>
      <c r="L12" s="242"/>
      <c r="M12" s="242"/>
      <c r="N12" s="242"/>
      <c r="O12" s="294"/>
      <c r="P12" s="290"/>
      <c r="Q12" s="242"/>
      <c r="R12" s="242"/>
      <c r="S12" s="242"/>
      <c r="T12" s="242"/>
      <c r="U12" s="294"/>
      <c r="V12" s="290"/>
      <c r="W12" s="242"/>
      <c r="X12" s="242"/>
      <c r="Y12" s="242"/>
      <c r="Z12" s="242"/>
      <c r="AA12" s="294"/>
      <c r="AB12" s="290"/>
      <c r="AC12" s="242"/>
      <c r="AD12" s="242"/>
      <c r="AE12" s="242"/>
      <c r="AF12" s="242"/>
      <c r="AG12" s="294"/>
      <c r="AH12" s="262"/>
      <c r="AI12" s="263"/>
      <c r="AJ12" s="263"/>
      <c r="AK12" s="263"/>
      <c r="AL12" s="263"/>
      <c r="AM12" s="266"/>
      <c r="AN12" s="38"/>
      <c r="AO12" s="305"/>
      <c r="AP12" s="306"/>
      <c r="AQ12" s="306"/>
      <c r="AR12" s="306"/>
      <c r="AS12" s="306"/>
      <c r="AT12" s="307"/>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row>
    <row r="13" spans="1:99" ht="15" customHeight="1" x14ac:dyDescent="0.35">
      <c r="A13" s="38"/>
      <c r="B13" s="300"/>
      <c r="C13" s="300"/>
      <c r="D13" s="301"/>
      <c r="E13" s="284"/>
      <c r="F13" s="285"/>
      <c r="G13" s="285"/>
      <c r="H13" s="285"/>
      <c r="I13" s="286"/>
      <c r="J13" s="290"/>
      <c r="K13" s="242"/>
      <c r="L13" s="242"/>
      <c r="M13" s="242"/>
      <c r="N13" s="242"/>
      <c r="O13" s="294"/>
      <c r="P13" s="290"/>
      <c r="Q13" s="242"/>
      <c r="R13" s="242"/>
      <c r="S13" s="242"/>
      <c r="T13" s="242"/>
      <c r="U13" s="294"/>
      <c r="V13" s="290"/>
      <c r="W13" s="242"/>
      <c r="X13" s="242"/>
      <c r="Y13" s="242"/>
      <c r="Z13" s="242"/>
      <c r="AA13" s="294"/>
      <c r="AB13" s="290"/>
      <c r="AC13" s="242"/>
      <c r="AD13" s="242"/>
      <c r="AE13" s="242"/>
      <c r="AF13" s="242"/>
      <c r="AG13" s="294"/>
      <c r="AH13" s="262"/>
      <c r="AI13" s="263"/>
      <c r="AJ13" s="263"/>
      <c r="AK13" s="263"/>
      <c r="AL13" s="263"/>
      <c r="AM13" s="266"/>
      <c r="AN13" s="38"/>
      <c r="AO13" s="305"/>
      <c r="AP13" s="306"/>
      <c r="AQ13" s="306"/>
      <c r="AR13" s="306"/>
      <c r="AS13" s="306"/>
      <c r="AT13" s="307"/>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row>
    <row r="14" spans="1:99" ht="15.75" customHeight="1" thickBot="1" x14ac:dyDescent="0.4">
      <c r="A14" s="38"/>
      <c r="B14" s="300"/>
      <c r="C14" s="300"/>
      <c r="D14" s="301"/>
      <c r="E14" s="284"/>
      <c r="F14" s="285"/>
      <c r="G14" s="285"/>
      <c r="H14" s="285"/>
      <c r="I14" s="286"/>
      <c r="J14" s="291"/>
      <c r="K14" s="292"/>
      <c r="L14" s="242"/>
      <c r="M14" s="242"/>
      <c r="N14" s="242"/>
      <c r="O14" s="294"/>
      <c r="P14" s="291"/>
      <c r="Q14" s="292"/>
      <c r="R14" s="242"/>
      <c r="S14" s="242"/>
      <c r="T14" s="242"/>
      <c r="U14" s="294"/>
      <c r="V14" s="291"/>
      <c r="W14" s="292"/>
      <c r="X14" s="242"/>
      <c r="Y14" s="242"/>
      <c r="Z14" s="242"/>
      <c r="AA14" s="294"/>
      <c r="AB14" s="291"/>
      <c r="AC14" s="292"/>
      <c r="AD14" s="242"/>
      <c r="AE14" s="242"/>
      <c r="AF14" s="242"/>
      <c r="AG14" s="294"/>
      <c r="AH14" s="264"/>
      <c r="AI14" s="265"/>
      <c r="AJ14" s="263"/>
      <c r="AK14" s="263"/>
      <c r="AL14" s="263"/>
      <c r="AM14" s="266"/>
      <c r="AN14" s="38"/>
      <c r="AO14" s="308"/>
      <c r="AP14" s="309"/>
      <c r="AQ14" s="309"/>
      <c r="AR14" s="309"/>
      <c r="AS14" s="309"/>
      <c r="AT14" s="310"/>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row>
    <row r="15" spans="1:99" ht="15" customHeight="1" x14ac:dyDescent="0.35">
      <c r="A15" s="38"/>
      <c r="B15" s="300"/>
      <c r="C15" s="300"/>
      <c r="D15" s="300"/>
      <c r="E15" s="280" t="s">
        <v>105</v>
      </c>
      <c r="F15" s="282"/>
      <c r="G15" s="282"/>
      <c r="H15" s="282"/>
      <c r="I15" s="283"/>
      <c r="J15" s="260" t="str">
        <f>IF(AND('Mapa inherente'!$H$10="Alta",'Mapa inherente'!$L$10="Leve"),CONCATENATE("R",'Mapa inherente'!$A$10),"")</f>
        <v/>
      </c>
      <c r="K15" s="260"/>
      <c r="L15" s="260" t="str">
        <f>IF(AND('Mapa inherente'!$H$11="Alta",'Mapa inherente'!$L$11="Leve"),CONCATENATE("R",'Mapa inherente'!$A$11),"")</f>
        <v/>
      </c>
      <c r="M15" s="260"/>
      <c r="N15" s="260" t="str">
        <f>IF(AND('Mapa inherente'!$H$12="Alta",'Mapa inherente'!$L$12="Leve"),CONCATENATE("R",'Mapa inherente'!$A$12),"")</f>
        <v/>
      </c>
      <c r="O15" s="261"/>
      <c r="P15" s="260" t="str">
        <f>IF(AND('Mapa inherente'!$H$10="Alta",'Mapa inherente'!$L$10="Menor"),CONCATENATE("R",'Mapa inherente'!$A$10),"")</f>
        <v/>
      </c>
      <c r="Q15" s="260"/>
      <c r="R15" s="260" t="str">
        <f>IF(AND('Mapa inherente'!$H$11="Alta",'Mapa inherente'!$L$11="Menor"),CONCATENATE("R",'Mapa inherente'!$A$11),"")</f>
        <v/>
      </c>
      <c r="S15" s="260"/>
      <c r="T15" s="260" t="str">
        <f>IF(AND('Mapa inherente'!$H$12="Alta",'Mapa inherente'!$L$12="Menor"),CONCATENATE("R",'Mapa inherente'!$A$12),"")</f>
        <v/>
      </c>
      <c r="U15" s="261"/>
      <c r="V15" s="278" t="str">
        <f>IF(AND('Mapa inherente'!$H$10="Alta",'Mapa inherente'!$L$10="Moderado"),CONCATENATE("R",'Mapa inherente'!$A$10),"")</f>
        <v/>
      </c>
      <c r="W15" s="278"/>
      <c r="X15" s="278" t="str">
        <f>IF(AND('Mapa inherente'!$H$11="Alta",'Mapa inherente'!$L$11="Moderado"),CONCATENATE("R",'Mapa inherente'!$A$11),"")</f>
        <v/>
      </c>
      <c r="Y15" s="278"/>
      <c r="Z15" s="278" t="str">
        <f>IF(AND('Mapa inherente'!$H$12="Alta",'Mapa inherente'!$L$12="Moderado"),CONCATENATE("R",'Mapa inherente'!$A$12),"")</f>
        <v/>
      </c>
      <c r="AA15" s="279"/>
      <c r="AB15" s="278" t="str">
        <f>IF(AND('Mapa inherente'!$H$10="Alta",'Mapa inherente'!$L$10="Mayor"),CONCATENATE("R",'Mapa inherente'!$A$10),"")</f>
        <v/>
      </c>
      <c r="AC15" s="278"/>
      <c r="AD15" s="278" t="str">
        <f>IF(AND('Mapa inherente'!$H$11="Alta",'Mapa inherente'!$L$11="Mayor"),CONCATENATE("R",'Mapa inherente'!$A$11),"")</f>
        <v/>
      </c>
      <c r="AE15" s="278"/>
      <c r="AF15" s="278" t="str">
        <f>IF(AND('Mapa inherente'!$H$12="Alta",'Mapa inherente'!$L$12="Mayor"),CONCATENATE("R",'Mapa inherente'!$A$12),"")</f>
        <v/>
      </c>
      <c r="AG15" s="279"/>
      <c r="AH15" s="269" t="str">
        <f>IF(AND('Mapa inherente'!$H$10="Alta",'Mapa inherente'!$L$10="Catastrófico"),CONCATENATE("R",'Mapa inherente'!$A$10),"")</f>
        <v/>
      </c>
      <c r="AI15" s="269"/>
      <c r="AJ15" s="269" t="str">
        <f>IF(AND('Mapa inherente'!$H$11="Alta",'Mapa inherente'!$L$11="Catastrófico"),CONCATENATE("R",'Mapa inherente'!$A$11),"")</f>
        <v/>
      </c>
      <c r="AK15" s="269"/>
      <c r="AL15" s="269" t="str">
        <f>IF(AND('Mapa inherente'!$H$12="Alta",'Mapa inherente'!$L$12="Catastrófico"),CONCATENATE("R",'Mapa inherente'!$A$12),"")</f>
        <v/>
      </c>
      <c r="AM15" s="270"/>
      <c r="AN15" s="38"/>
      <c r="AO15" s="311" t="s">
        <v>71</v>
      </c>
      <c r="AP15" s="312"/>
      <c r="AQ15" s="312"/>
      <c r="AR15" s="312"/>
      <c r="AS15" s="312"/>
      <c r="AT15" s="313"/>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row>
    <row r="16" spans="1:99" ht="15" customHeight="1" x14ac:dyDescent="0.35">
      <c r="A16" s="38"/>
      <c r="B16" s="300"/>
      <c r="C16" s="300"/>
      <c r="D16" s="300"/>
      <c r="E16" s="284"/>
      <c r="F16" s="285"/>
      <c r="G16" s="285"/>
      <c r="H16" s="285"/>
      <c r="I16" s="286"/>
      <c r="J16" s="254"/>
      <c r="K16" s="254"/>
      <c r="L16" s="254"/>
      <c r="M16" s="254"/>
      <c r="N16" s="254"/>
      <c r="O16" s="257"/>
      <c r="P16" s="254"/>
      <c r="Q16" s="254"/>
      <c r="R16" s="254"/>
      <c r="S16" s="254"/>
      <c r="T16" s="254"/>
      <c r="U16" s="257"/>
      <c r="V16" s="272"/>
      <c r="W16" s="272"/>
      <c r="X16" s="272"/>
      <c r="Y16" s="272"/>
      <c r="Z16" s="272"/>
      <c r="AA16" s="275"/>
      <c r="AB16" s="272"/>
      <c r="AC16" s="272"/>
      <c r="AD16" s="272"/>
      <c r="AE16" s="272"/>
      <c r="AF16" s="272"/>
      <c r="AG16" s="275"/>
      <c r="AH16" s="263"/>
      <c r="AI16" s="263"/>
      <c r="AJ16" s="263"/>
      <c r="AK16" s="263"/>
      <c r="AL16" s="263"/>
      <c r="AM16" s="266"/>
      <c r="AN16" s="38"/>
      <c r="AO16" s="314"/>
      <c r="AP16" s="315"/>
      <c r="AQ16" s="315"/>
      <c r="AR16" s="315"/>
      <c r="AS16" s="315"/>
      <c r="AT16" s="316"/>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row>
    <row r="17" spans="1:80" ht="15" customHeight="1" x14ac:dyDescent="0.35">
      <c r="A17" s="38"/>
      <c r="B17" s="300"/>
      <c r="C17" s="300"/>
      <c r="D17" s="300"/>
      <c r="E17" s="284"/>
      <c r="F17" s="285"/>
      <c r="G17" s="285"/>
      <c r="H17" s="285"/>
      <c r="I17" s="286"/>
      <c r="J17" s="253" t="str">
        <f>IF(AND('Mapa inherente'!$H$13="Alta",'Mapa inherente'!$L$13="Leve"),CONCATENATE("R",'Mapa inherente'!$A$13),"")</f>
        <v/>
      </c>
      <c r="K17" s="254"/>
      <c r="L17" s="254" t="str">
        <f>IF(AND('Mapa inherente'!$H$14="Alta",'Mapa inherente'!$L$14="Leve"),CONCATENATE("R",'Mapa inherente'!$A$14),"")</f>
        <v/>
      </c>
      <c r="M17" s="254"/>
      <c r="N17" s="254" t="str">
        <f>IF(AND('Mapa inherente'!$H$15="Alta",'Mapa inherente'!$L$15="Leve"),CONCATENATE("R",'Mapa inherente'!$A$15),"")</f>
        <v/>
      </c>
      <c r="O17" s="257"/>
      <c r="P17" s="253" t="str">
        <f>IF(AND('Mapa inherente'!$H$13="Alta",'Mapa inherente'!$L$13="Menor"),CONCATENATE("R",'Mapa inherente'!$A$13),"")</f>
        <v/>
      </c>
      <c r="Q17" s="254"/>
      <c r="R17" s="254" t="str">
        <f>IF(AND('Mapa inherente'!$H$14="Alta",'Mapa inherente'!$L$14="Menor"),CONCATENATE("R",'Mapa inherente'!$A$14),"")</f>
        <v/>
      </c>
      <c r="S17" s="254"/>
      <c r="T17" s="254" t="str">
        <f>IF(AND('Mapa inherente'!$H$15="Alta",'Mapa inherente'!$L$15="Menor"),CONCATENATE("R",'Mapa inherente'!$A$15),"")</f>
        <v/>
      </c>
      <c r="U17" s="257"/>
      <c r="V17" s="271" t="str">
        <f>IF(AND('Mapa inherente'!$H$13="Alta",'Mapa inherente'!$L$13="Moderado"),CONCATENATE("R",'Mapa inherente'!$A$13),"")</f>
        <v/>
      </c>
      <c r="W17" s="272"/>
      <c r="X17" s="272" t="str">
        <f>IF(AND('Mapa inherente'!$H$14="Alta",'Mapa inherente'!$L$14="Moderado"),CONCATENATE("R",'Mapa inherente'!$A$14),"")</f>
        <v/>
      </c>
      <c r="Y17" s="272"/>
      <c r="Z17" s="272" t="str">
        <f>IF(AND('Mapa inherente'!$H$15="Alta",'Mapa inherente'!$L$15="Moderado"),CONCATENATE("R",'Mapa inherente'!$A$15),"")</f>
        <v/>
      </c>
      <c r="AA17" s="275"/>
      <c r="AB17" s="271" t="str">
        <f>IF(AND('Mapa inherente'!$H$13="Alta",'Mapa inherente'!$L$13="Mayor"),CONCATENATE("R",'Mapa inherente'!$A$13),"")</f>
        <v/>
      </c>
      <c r="AC17" s="272"/>
      <c r="AD17" s="272" t="str">
        <f>IF(AND('Mapa inherente'!$H$14="Alta",'Mapa inherente'!$L$14="Mayor"),CONCATENATE("R",'Mapa inherente'!$A$14),"")</f>
        <v/>
      </c>
      <c r="AE17" s="272"/>
      <c r="AF17" s="272" t="str">
        <f>IF(AND('Mapa inherente'!$H$15="Alta",'Mapa inherente'!$L$15="Mayor"),CONCATENATE("R",'Mapa inherente'!$A$15),"")</f>
        <v/>
      </c>
      <c r="AG17" s="275"/>
      <c r="AH17" s="262" t="str">
        <f>IF(AND('Mapa inherente'!$H$13="Alta",'Mapa inherente'!$L$13="Catastrófico"),CONCATENATE("R",'Mapa inherente'!$A$13),"")</f>
        <v/>
      </c>
      <c r="AI17" s="263"/>
      <c r="AJ17" s="263" t="str">
        <f>IF(AND('Mapa inherente'!$H$14="Alta",'Mapa inherente'!$L$14="Catastrófico"),CONCATENATE("R",'Mapa inherente'!$A$14),"")</f>
        <v/>
      </c>
      <c r="AK17" s="263"/>
      <c r="AL17" s="263" t="str">
        <f>IF(AND('Mapa inherente'!$H$15="Alta",'Mapa inherente'!$L$15="Catastrófico"),CONCATENATE("R",'Mapa inherente'!$A$15),"")</f>
        <v/>
      </c>
      <c r="AM17" s="266"/>
      <c r="AN17" s="38"/>
      <c r="AO17" s="314"/>
      <c r="AP17" s="315"/>
      <c r="AQ17" s="315"/>
      <c r="AR17" s="315"/>
      <c r="AS17" s="315"/>
      <c r="AT17" s="316"/>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row>
    <row r="18" spans="1:80" ht="15" customHeight="1" x14ac:dyDescent="0.35">
      <c r="A18" s="38"/>
      <c r="B18" s="300"/>
      <c r="C18" s="300"/>
      <c r="D18" s="300"/>
      <c r="E18" s="284"/>
      <c r="F18" s="285"/>
      <c r="G18" s="285"/>
      <c r="H18" s="285"/>
      <c r="I18" s="286"/>
      <c r="J18" s="253"/>
      <c r="K18" s="254"/>
      <c r="L18" s="254"/>
      <c r="M18" s="254"/>
      <c r="N18" s="254"/>
      <c r="O18" s="257"/>
      <c r="P18" s="253"/>
      <c r="Q18" s="254"/>
      <c r="R18" s="254"/>
      <c r="S18" s="254"/>
      <c r="T18" s="254"/>
      <c r="U18" s="257"/>
      <c r="V18" s="271"/>
      <c r="W18" s="272"/>
      <c r="X18" s="272"/>
      <c r="Y18" s="272"/>
      <c r="Z18" s="272"/>
      <c r="AA18" s="275"/>
      <c r="AB18" s="271"/>
      <c r="AC18" s="272"/>
      <c r="AD18" s="272"/>
      <c r="AE18" s="272"/>
      <c r="AF18" s="272"/>
      <c r="AG18" s="275"/>
      <c r="AH18" s="262"/>
      <c r="AI18" s="263"/>
      <c r="AJ18" s="263"/>
      <c r="AK18" s="263"/>
      <c r="AL18" s="263"/>
      <c r="AM18" s="266"/>
      <c r="AN18" s="38"/>
      <c r="AO18" s="314"/>
      <c r="AP18" s="315"/>
      <c r="AQ18" s="315"/>
      <c r="AR18" s="315"/>
      <c r="AS18" s="315"/>
      <c r="AT18" s="316"/>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row>
    <row r="19" spans="1:80" ht="15" customHeight="1" x14ac:dyDescent="0.35">
      <c r="A19" s="38"/>
      <c r="B19" s="300"/>
      <c r="C19" s="300"/>
      <c r="D19" s="300"/>
      <c r="E19" s="284"/>
      <c r="F19" s="285"/>
      <c r="G19" s="285"/>
      <c r="H19" s="285"/>
      <c r="I19" s="286"/>
      <c r="J19" s="253"/>
      <c r="K19" s="254"/>
      <c r="L19" s="254"/>
      <c r="M19" s="254"/>
      <c r="N19" s="254"/>
      <c r="O19" s="257"/>
      <c r="P19" s="253"/>
      <c r="Q19" s="254"/>
      <c r="R19" s="254"/>
      <c r="S19" s="254"/>
      <c r="T19" s="254"/>
      <c r="U19" s="257"/>
      <c r="V19" s="271"/>
      <c r="W19" s="272"/>
      <c r="X19" s="272"/>
      <c r="Y19" s="272"/>
      <c r="Z19" s="272"/>
      <c r="AA19" s="275"/>
      <c r="AB19" s="271"/>
      <c r="AC19" s="272"/>
      <c r="AD19" s="272"/>
      <c r="AE19" s="272"/>
      <c r="AF19" s="272"/>
      <c r="AG19" s="275"/>
      <c r="AH19" s="262"/>
      <c r="AI19" s="263"/>
      <c r="AJ19" s="263"/>
      <c r="AK19" s="263"/>
      <c r="AL19" s="263"/>
      <c r="AM19" s="266"/>
      <c r="AN19" s="38"/>
      <c r="AO19" s="314"/>
      <c r="AP19" s="315"/>
      <c r="AQ19" s="315"/>
      <c r="AR19" s="315"/>
      <c r="AS19" s="315"/>
      <c r="AT19" s="316"/>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row>
    <row r="20" spans="1:80" ht="15.75" customHeight="1" thickBot="1" x14ac:dyDescent="0.4">
      <c r="A20" s="38"/>
      <c r="B20" s="300"/>
      <c r="C20" s="300"/>
      <c r="D20" s="300"/>
      <c r="E20" s="287"/>
      <c r="F20" s="288"/>
      <c r="G20" s="288"/>
      <c r="H20" s="288"/>
      <c r="I20" s="289"/>
      <c r="J20" s="255"/>
      <c r="K20" s="256"/>
      <c r="L20" s="254"/>
      <c r="M20" s="254"/>
      <c r="N20" s="254"/>
      <c r="O20" s="257"/>
      <c r="P20" s="255"/>
      <c r="Q20" s="256"/>
      <c r="R20" s="254"/>
      <c r="S20" s="254"/>
      <c r="T20" s="254"/>
      <c r="U20" s="257"/>
      <c r="V20" s="273"/>
      <c r="W20" s="274"/>
      <c r="X20" s="272"/>
      <c r="Y20" s="272"/>
      <c r="Z20" s="272"/>
      <c r="AA20" s="275"/>
      <c r="AB20" s="273"/>
      <c r="AC20" s="274"/>
      <c r="AD20" s="272"/>
      <c r="AE20" s="272"/>
      <c r="AF20" s="272"/>
      <c r="AG20" s="275"/>
      <c r="AH20" s="264"/>
      <c r="AI20" s="265"/>
      <c r="AJ20" s="263"/>
      <c r="AK20" s="263"/>
      <c r="AL20" s="263"/>
      <c r="AM20" s="266"/>
      <c r="AN20" s="38"/>
      <c r="AO20" s="317"/>
      <c r="AP20" s="318"/>
      <c r="AQ20" s="318"/>
      <c r="AR20" s="318"/>
      <c r="AS20" s="318"/>
      <c r="AT20" s="319"/>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row>
    <row r="21" spans="1:80" ht="15" customHeight="1" x14ac:dyDescent="0.35">
      <c r="A21" s="38"/>
      <c r="B21" s="300"/>
      <c r="C21" s="300"/>
      <c r="D21" s="301"/>
      <c r="E21" s="338" t="s">
        <v>107</v>
      </c>
      <c r="F21" s="285"/>
      <c r="G21" s="285"/>
      <c r="H21" s="285"/>
      <c r="I21" s="286"/>
      <c r="J21" s="260" t="str">
        <f>IF(AND('Mapa inherente'!$H$10="Media",'Mapa inherente'!$L$10="Leve"),CONCATENATE("R",'Mapa inherente'!$A$10),"")</f>
        <v/>
      </c>
      <c r="K21" s="260"/>
      <c r="L21" s="260" t="str">
        <f>IF(AND('Mapa inherente'!$H$11="Media",'Mapa inherente'!$L$11="Leve"),CONCATENATE("R",'Mapa inherente'!$A$11),"")</f>
        <v/>
      </c>
      <c r="M21" s="260"/>
      <c r="N21" s="260" t="str">
        <f>IF(AND('Mapa inherente'!$H$12="Media",'Mapa inherente'!$L$12="Leve"),CONCATENATE("R",'Mapa inherente'!$A$12),"")</f>
        <v/>
      </c>
      <c r="O21" s="261"/>
      <c r="P21" s="260" t="str">
        <f>IF(AND('Mapa inherente'!$H$10="Media",'Mapa inherente'!$L$10="Menor"),CONCATENATE("R",'Mapa inherente'!$A$10),"")</f>
        <v/>
      </c>
      <c r="Q21" s="260"/>
      <c r="R21" s="260" t="str">
        <f>IF(AND('Mapa inherente'!$H$11="Media",'Mapa inherente'!$L$11="Menor"),CONCATENATE("R",'Mapa inherente'!$A$11),"")</f>
        <v/>
      </c>
      <c r="S21" s="260"/>
      <c r="T21" s="260" t="str">
        <f>IF(AND('Mapa inherente'!$H$12="Media",'Mapa inherente'!$L$12="Menor"),CONCATENATE("R",'Mapa inherente'!$A$12),"")</f>
        <v/>
      </c>
      <c r="U21" s="261"/>
      <c r="V21" s="260" t="str">
        <f>IF(AND('Mapa inherente'!$H$10="Media",'Mapa inherente'!$L$10="Moderado"),CONCATENATE("R",'Mapa inherente'!$A$10),"")</f>
        <v/>
      </c>
      <c r="W21" s="260"/>
      <c r="X21" s="260" t="str">
        <f>IF(AND('Mapa inherente'!$H$11="Media",'Mapa inherente'!$L$11="Moderado"),CONCATENATE("R",'Mapa inherente'!$A$11),"")</f>
        <v/>
      </c>
      <c r="Y21" s="260"/>
      <c r="Z21" s="260" t="str">
        <f>IF(AND('Mapa inherente'!$H$12="Media",'Mapa inherente'!$L$12="Moderado"),CONCATENATE("R",'Mapa inherente'!$A$12),"")</f>
        <v/>
      </c>
      <c r="AA21" s="261"/>
      <c r="AB21" s="278" t="str">
        <f>IF(AND('Mapa inherente'!$H$10="Media",'Mapa inherente'!$L$10="Mayor"),CONCATENATE("R",'Mapa inherente'!$A$10),"")</f>
        <v/>
      </c>
      <c r="AC21" s="278"/>
      <c r="AD21" s="278" t="str">
        <f>IF(AND('Mapa inherente'!$H$11="Media",'Mapa inherente'!$L$11="Mayor"),CONCATENATE("R",'Mapa inherente'!$A$11),"")</f>
        <v/>
      </c>
      <c r="AE21" s="278"/>
      <c r="AF21" s="278" t="str">
        <f>IF(AND('Mapa inherente'!$H$12="Media",'Mapa inherente'!$L$12="Mayor"),CONCATENATE("R",'Mapa inherente'!$A$12),"")</f>
        <v/>
      </c>
      <c r="AG21" s="279"/>
      <c r="AH21" s="269" t="str">
        <f>IF(AND('Mapa inherente'!$H$10="Media",'Mapa inherente'!$L$10="Catastrófico"),CONCATENATE("R",'Mapa inherente'!$A$10),"")</f>
        <v/>
      </c>
      <c r="AI21" s="269"/>
      <c r="AJ21" s="269" t="str">
        <f>IF(AND('Mapa inherente'!$H$11="Media",'Mapa inherente'!$L$11="Catastrófico"),CONCATENATE("R",'Mapa inherente'!$A$11),"")</f>
        <v/>
      </c>
      <c r="AK21" s="269"/>
      <c r="AL21" s="269" t="str">
        <f>IF(AND('Mapa inherente'!$H$12="Media",'Mapa inherente'!$L$12="Catastrófico"),CONCATENATE("R",'Mapa inherente'!$A$12),"")</f>
        <v/>
      </c>
      <c r="AM21" s="270"/>
      <c r="AN21" s="38"/>
      <c r="AO21" s="320" t="s">
        <v>72</v>
      </c>
      <c r="AP21" s="321"/>
      <c r="AQ21" s="321"/>
      <c r="AR21" s="321"/>
      <c r="AS21" s="321"/>
      <c r="AT21" s="322"/>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row>
    <row r="22" spans="1:80" ht="15" customHeight="1" x14ac:dyDescent="0.35">
      <c r="A22" s="38"/>
      <c r="B22" s="300"/>
      <c r="C22" s="300"/>
      <c r="D22" s="301"/>
      <c r="E22" s="284"/>
      <c r="F22" s="285"/>
      <c r="G22" s="285"/>
      <c r="H22" s="285"/>
      <c r="I22" s="286"/>
      <c r="J22" s="254"/>
      <c r="K22" s="254"/>
      <c r="L22" s="254"/>
      <c r="M22" s="254"/>
      <c r="N22" s="254"/>
      <c r="O22" s="257"/>
      <c r="P22" s="254"/>
      <c r="Q22" s="254"/>
      <c r="R22" s="254"/>
      <c r="S22" s="254"/>
      <c r="T22" s="254"/>
      <c r="U22" s="257"/>
      <c r="V22" s="254"/>
      <c r="W22" s="254"/>
      <c r="X22" s="254"/>
      <c r="Y22" s="254"/>
      <c r="Z22" s="254"/>
      <c r="AA22" s="257"/>
      <c r="AB22" s="272"/>
      <c r="AC22" s="272"/>
      <c r="AD22" s="272"/>
      <c r="AE22" s="272"/>
      <c r="AF22" s="272"/>
      <c r="AG22" s="275"/>
      <c r="AH22" s="263"/>
      <c r="AI22" s="263"/>
      <c r="AJ22" s="263"/>
      <c r="AK22" s="263"/>
      <c r="AL22" s="263"/>
      <c r="AM22" s="266"/>
      <c r="AN22" s="38"/>
      <c r="AO22" s="323"/>
      <c r="AP22" s="324"/>
      <c r="AQ22" s="324"/>
      <c r="AR22" s="324"/>
      <c r="AS22" s="324"/>
      <c r="AT22" s="325"/>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row>
    <row r="23" spans="1:80" ht="15" customHeight="1" x14ac:dyDescent="0.35">
      <c r="A23" s="38"/>
      <c r="B23" s="300"/>
      <c r="C23" s="300"/>
      <c r="D23" s="301"/>
      <c r="E23" s="284"/>
      <c r="F23" s="285"/>
      <c r="G23" s="285"/>
      <c r="H23" s="285"/>
      <c r="I23" s="286"/>
      <c r="J23" s="253" t="str">
        <f>IF(AND('Mapa inherente'!$H$13="Media",'Mapa inherente'!$L$13="Leve"),CONCATENATE("R",'Mapa inherente'!$A$13),"")</f>
        <v/>
      </c>
      <c r="K23" s="254"/>
      <c r="L23" s="254" t="str">
        <f>IF(AND('Mapa inherente'!$H$14="Media",'Mapa inherente'!$L$14="Leve"),CONCATENATE("R",'Mapa inherente'!$A$14),"")</f>
        <v/>
      </c>
      <c r="M23" s="254"/>
      <c r="N23" s="254" t="str">
        <f>IF(AND('Mapa inherente'!$H$15="Media",'Mapa inherente'!$L$15="Leve"),CONCATENATE("R",'Mapa inherente'!$A$15),"")</f>
        <v/>
      </c>
      <c r="O23" s="257"/>
      <c r="P23" s="253" t="str">
        <f>IF(AND('Mapa inherente'!$H$13="Media",'Mapa inherente'!$L$13="Menor"),CONCATENATE("R",'Mapa inherente'!$A$13),"")</f>
        <v/>
      </c>
      <c r="Q23" s="254"/>
      <c r="R23" s="254" t="str">
        <f>IF(AND('Mapa inherente'!$H$14="Media",'Mapa inherente'!$L$14="Menor"),CONCATENATE("R",'Mapa inherente'!$A$14),"")</f>
        <v/>
      </c>
      <c r="S23" s="254"/>
      <c r="T23" s="254" t="str">
        <f>IF(AND('Mapa inherente'!$H$15="Media",'Mapa inherente'!$L$15="Menor"),CONCATENATE("R",'Mapa inherente'!$A$15),"")</f>
        <v/>
      </c>
      <c r="U23" s="257"/>
      <c r="V23" s="253" t="str">
        <f>IF(AND('Mapa inherente'!$H$13="Media",'Mapa inherente'!$L$13="Moderado"),CONCATENATE("R",'Mapa inherente'!$A$13),"")</f>
        <v/>
      </c>
      <c r="W23" s="254"/>
      <c r="X23" s="254" t="str">
        <f>IF(AND('Mapa inherente'!$H$14="Media",'Mapa inherente'!$L$14="Moderado"),CONCATENATE("R",'Mapa inherente'!$A$14),"")</f>
        <v>R5</v>
      </c>
      <c r="Y23" s="254"/>
      <c r="Z23" s="254" t="str">
        <f>IF(AND('Mapa inherente'!$H$15="Media",'Mapa inherente'!$L$15="Moderado"),CONCATENATE("R",'Mapa inherente'!$A$15),"")</f>
        <v/>
      </c>
      <c r="AA23" s="257"/>
      <c r="AB23" s="271" t="str">
        <f>IF(AND('Mapa inherente'!$H$13="Media",'Mapa inherente'!$L$13="Mayor"),CONCATENATE("R",'Mapa inherente'!$A$13),"")</f>
        <v/>
      </c>
      <c r="AC23" s="272"/>
      <c r="AD23" s="272" t="str">
        <f>IF(AND('Mapa inherente'!$H$14="Media",'Mapa inherente'!$L$14="Mayor"),CONCATENATE("R",'Mapa inherente'!$A$14),"")</f>
        <v/>
      </c>
      <c r="AE23" s="272"/>
      <c r="AF23" s="272" t="str">
        <f>IF(AND('Mapa inherente'!$H$15="Media",'Mapa inherente'!$L$15="Mayor"),CONCATENATE("R",'Mapa inherente'!$A$15),"")</f>
        <v/>
      </c>
      <c r="AG23" s="275"/>
      <c r="AH23" s="262" t="str">
        <f>IF(AND('Mapa inherente'!$H$13="Media",'Mapa inherente'!$L$13="Catastrófico"),CONCATENATE("R",'Mapa inherente'!$A$13),"")</f>
        <v/>
      </c>
      <c r="AI23" s="263"/>
      <c r="AJ23" s="263" t="str">
        <f>IF(AND('Mapa inherente'!$H$14="Media",'Mapa inherente'!$L$14="Catastrófico"),CONCATENATE("R",'Mapa inherente'!$A$14),"")</f>
        <v/>
      </c>
      <c r="AK23" s="263"/>
      <c r="AL23" s="263" t="str">
        <f>IF(AND('Mapa inherente'!$H$15="Media",'Mapa inherente'!$L$15="Catastrófico"),CONCATENATE("R",'Mapa inherente'!$A$15),"")</f>
        <v/>
      </c>
      <c r="AM23" s="266"/>
      <c r="AN23" s="38"/>
      <c r="AO23" s="323"/>
      <c r="AP23" s="324"/>
      <c r="AQ23" s="324"/>
      <c r="AR23" s="324"/>
      <c r="AS23" s="324"/>
      <c r="AT23" s="325"/>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row>
    <row r="24" spans="1:80" ht="15" customHeight="1" x14ac:dyDescent="0.35">
      <c r="A24" s="38"/>
      <c r="B24" s="300"/>
      <c r="C24" s="300"/>
      <c r="D24" s="301"/>
      <c r="E24" s="284"/>
      <c r="F24" s="285"/>
      <c r="G24" s="285"/>
      <c r="H24" s="285"/>
      <c r="I24" s="286"/>
      <c r="J24" s="253"/>
      <c r="K24" s="254"/>
      <c r="L24" s="254"/>
      <c r="M24" s="254"/>
      <c r="N24" s="254"/>
      <c r="O24" s="257"/>
      <c r="P24" s="253"/>
      <c r="Q24" s="254"/>
      <c r="R24" s="254"/>
      <c r="S24" s="254"/>
      <c r="T24" s="254"/>
      <c r="U24" s="257"/>
      <c r="V24" s="253"/>
      <c r="W24" s="254"/>
      <c r="X24" s="254"/>
      <c r="Y24" s="254"/>
      <c r="Z24" s="254"/>
      <c r="AA24" s="257"/>
      <c r="AB24" s="271"/>
      <c r="AC24" s="272"/>
      <c r="AD24" s="272"/>
      <c r="AE24" s="272"/>
      <c r="AF24" s="272"/>
      <c r="AG24" s="275"/>
      <c r="AH24" s="262"/>
      <c r="AI24" s="263"/>
      <c r="AJ24" s="263"/>
      <c r="AK24" s="263"/>
      <c r="AL24" s="263"/>
      <c r="AM24" s="266"/>
      <c r="AN24" s="38"/>
      <c r="AO24" s="323"/>
      <c r="AP24" s="324"/>
      <c r="AQ24" s="324"/>
      <c r="AR24" s="324"/>
      <c r="AS24" s="324"/>
      <c r="AT24" s="325"/>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row>
    <row r="25" spans="1:80" ht="15" customHeight="1" x14ac:dyDescent="0.35">
      <c r="A25" s="38"/>
      <c r="B25" s="300"/>
      <c r="C25" s="300"/>
      <c r="D25" s="301"/>
      <c r="E25" s="284"/>
      <c r="F25" s="285"/>
      <c r="G25" s="285"/>
      <c r="H25" s="285"/>
      <c r="I25" s="286"/>
      <c r="J25" s="253"/>
      <c r="K25" s="254"/>
      <c r="L25" s="254"/>
      <c r="M25" s="254"/>
      <c r="N25" s="254"/>
      <c r="O25" s="257"/>
      <c r="P25" s="253"/>
      <c r="Q25" s="254"/>
      <c r="R25" s="254"/>
      <c r="S25" s="254"/>
      <c r="T25" s="254"/>
      <c r="U25" s="257"/>
      <c r="V25" s="253"/>
      <c r="W25" s="254"/>
      <c r="X25" s="254"/>
      <c r="Y25" s="254"/>
      <c r="Z25" s="254"/>
      <c r="AA25" s="257"/>
      <c r="AB25" s="271"/>
      <c r="AC25" s="272"/>
      <c r="AD25" s="272"/>
      <c r="AE25" s="272"/>
      <c r="AF25" s="272"/>
      <c r="AG25" s="275"/>
      <c r="AH25" s="262"/>
      <c r="AI25" s="263"/>
      <c r="AJ25" s="263"/>
      <c r="AK25" s="263"/>
      <c r="AL25" s="263"/>
      <c r="AM25" s="266"/>
      <c r="AN25" s="38"/>
      <c r="AO25" s="323"/>
      <c r="AP25" s="324"/>
      <c r="AQ25" s="324"/>
      <c r="AR25" s="324"/>
      <c r="AS25" s="324"/>
      <c r="AT25" s="325"/>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row>
    <row r="26" spans="1:80" ht="15.75" customHeight="1" thickBot="1" x14ac:dyDescent="0.4">
      <c r="A26" s="38"/>
      <c r="B26" s="300"/>
      <c r="C26" s="300"/>
      <c r="D26" s="301"/>
      <c r="E26" s="287"/>
      <c r="F26" s="288"/>
      <c r="G26" s="288"/>
      <c r="H26" s="288"/>
      <c r="I26" s="289"/>
      <c r="J26" s="255"/>
      <c r="K26" s="256"/>
      <c r="L26" s="254"/>
      <c r="M26" s="254"/>
      <c r="N26" s="254"/>
      <c r="O26" s="257"/>
      <c r="P26" s="255"/>
      <c r="Q26" s="256"/>
      <c r="R26" s="254"/>
      <c r="S26" s="254"/>
      <c r="T26" s="254"/>
      <c r="U26" s="257"/>
      <c r="V26" s="255"/>
      <c r="W26" s="256"/>
      <c r="X26" s="254"/>
      <c r="Y26" s="254"/>
      <c r="Z26" s="254"/>
      <c r="AA26" s="257"/>
      <c r="AB26" s="273"/>
      <c r="AC26" s="274"/>
      <c r="AD26" s="272"/>
      <c r="AE26" s="272"/>
      <c r="AF26" s="272"/>
      <c r="AG26" s="275"/>
      <c r="AH26" s="264"/>
      <c r="AI26" s="265"/>
      <c r="AJ26" s="263"/>
      <c r="AK26" s="263"/>
      <c r="AL26" s="263"/>
      <c r="AM26" s="266"/>
      <c r="AN26" s="38"/>
      <c r="AO26" s="326"/>
      <c r="AP26" s="327"/>
      <c r="AQ26" s="327"/>
      <c r="AR26" s="327"/>
      <c r="AS26" s="327"/>
      <c r="AT26" s="32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row>
    <row r="27" spans="1:80" ht="15" customHeight="1" x14ac:dyDescent="0.35">
      <c r="A27" s="38"/>
      <c r="B27" s="300"/>
      <c r="C27" s="300"/>
      <c r="D27" s="301"/>
      <c r="E27" s="280" t="s">
        <v>104</v>
      </c>
      <c r="F27" s="282"/>
      <c r="G27" s="282"/>
      <c r="H27" s="282"/>
      <c r="I27" s="282"/>
      <c r="J27" s="250" t="str">
        <f>IF(AND('Mapa inherente'!$H$10="Baja",'Mapa inherente'!$L$10="Leve"),CONCATENATE("R",'Mapa inherente'!$A$10),"")</f>
        <v/>
      </c>
      <c r="K27" s="251"/>
      <c r="L27" s="251" t="str">
        <f>IF(AND('Mapa inherente'!$H$11="Baja",'Mapa inherente'!$L$11="Leve"),CONCATENATE("R",'Mapa inherente'!$A$11),"")</f>
        <v/>
      </c>
      <c r="M27" s="251"/>
      <c r="N27" s="251" t="str">
        <f>IF(AND('Mapa inherente'!$H$12="Baja",'Mapa inherente'!$L$12="Leve"),CONCATENATE("R",'Mapa inherente'!$A$12),"")</f>
        <v/>
      </c>
      <c r="O27" s="252"/>
      <c r="P27" s="259" t="str">
        <f>IF(AND('Mapa inherente'!$H$10="Baja",'Mapa inherente'!$L$10="Menor"),CONCATENATE("R",'Mapa inherente'!$A$10),"")</f>
        <v/>
      </c>
      <c r="Q27" s="260"/>
      <c r="R27" s="260" t="str">
        <f>IF(AND('Mapa inherente'!$H$11="Baja",'Mapa inherente'!$L$11="Menor"),CONCATENATE("R",'Mapa inherente'!$A$11),"")</f>
        <v/>
      </c>
      <c r="S27" s="260"/>
      <c r="T27" s="260" t="str">
        <f>IF(AND('Mapa inherente'!$H$12="Baja",'Mapa inherente'!$L$12="Menor"),CONCATENATE("R",'Mapa inherente'!$A$12),"")</f>
        <v/>
      </c>
      <c r="U27" s="261"/>
      <c r="V27" s="259" t="str">
        <f>IF(AND('Mapa inherente'!$H$10="Baja",'Mapa inherente'!$L$10="Moderado"),CONCATENATE("R",'Mapa inherente'!$A$10),"")</f>
        <v/>
      </c>
      <c r="W27" s="260"/>
      <c r="X27" s="260" t="str">
        <f>IF(AND('Mapa inherente'!$H$11="Baja",'Mapa inherente'!$L$11="Moderado"),CONCATENATE("R",'Mapa inherente'!$A$11),"")</f>
        <v/>
      </c>
      <c r="Y27" s="260"/>
      <c r="Z27" s="260" t="str">
        <f>IF(AND('Mapa inherente'!$H$12="Baja",'Mapa inherente'!$L$12="Moderado"),CONCATENATE("R",'Mapa inherente'!$A$12),"")</f>
        <v/>
      </c>
      <c r="AA27" s="261"/>
      <c r="AB27" s="277" t="str">
        <f>IF(AND('Mapa inherente'!$H$10="Baja",'Mapa inherente'!$L$10="Mayor"),CONCATENATE("R",'Mapa inherente'!$A$10),"")</f>
        <v/>
      </c>
      <c r="AC27" s="278"/>
      <c r="AD27" s="278" t="str">
        <f>IF(AND('Mapa inherente'!$H$11="Baja",'Mapa inherente'!$L$11="Mayor"),CONCATENATE("R",'Mapa inherente'!$A$11),"")</f>
        <v/>
      </c>
      <c r="AE27" s="278"/>
      <c r="AF27" s="278" t="str">
        <f>IF(AND('Mapa inherente'!$H$12="Baja",'Mapa inherente'!$L$12="Mayor"),CONCATENATE("R",'Mapa inherente'!$A$12),"")</f>
        <v/>
      </c>
      <c r="AG27" s="279"/>
      <c r="AH27" s="268" t="str">
        <f>IF(AND('Mapa inherente'!$H$10="Baja",'Mapa inherente'!$L$10="Catastrófico"),CONCATENATE("R",'Mapa inherente'!$A$10),"")</f>
        <v/>
      </c>
      <c r="AI27" s="269"/>
      <c r="AJ27" s="269" t="str">
        <f>IF(AND('Mapa inherente'!$H$11="Baja",'Mapa inherente'!$L$11="Catastrófico"),CONCATENATE("R",'Mapa inherente'!$A$11),"")</f>
        <v/>
      </c>
      <c r="AK27" s="269"/>
      <c r="AL27" s="269" t="str">
        <f>IF(AND('Mapa inherente'!$H$12="Baja",'Mapa inherente'!$L$12="Catastrófico"),CONCATENATE("R",'Mapa inherente'!$A$12),"")</f>
        <v/>
      </c>
      <c r="AM27" s="270"/>
      <c r="AN27" s="38"/>
      <c r="AO27" s="329" t="s">
        <v>73</v>
      </c>
      <c r="AP27" s="330"/>
      <c r="AQ27" s="330"/>
      <c r="AR27" s="330"/>
      <c r="AS27" s="330"/>
      <c r="AT27" s="331"/>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row>
    <row r="28" spans="1:80" ht="15" customHeight="1" x14ac:dyDescent="0.35">
      <c r="A28" s="38"/>
      <c r="B28" s="300"/>
      <c r="C28" s="300"/>
      <c r="D28" s="301"/>
      <c r="E28" s="284"/>
      <c r="F28" s="285"/>
      <c r="G28" s="285"/>
      <c r="H28" s="285"/>
      <c r="I28" s="285"/>
      <c r="J28" s="244"/>
      <c r="K28" s="245"/>
      <c r="L28" s="245"/>
      <c r="M28" s="245"/>
      <c r="N28" s="245"/>
      <c r="O28" s="248"/>
      <c r="P28" s="253"/>
      <c r="Q28" s="254"/>
      <c r="R28" s="254"/>
      <c r="S28" s="254"/>
      <c r="T28" s="254"/>
      <c r="U28" s="257"/>
      <c r="V28" s="253"/>
      <c r="W28" s="254"/>
      <c r="X28" s="254"/>
      <c r="Y28" s="254"/>
      <c r="Z28" s="254"/>
      <c r="AA28" s="257"/>
      <c r="AB28" s="271"/>
      <c r="AC28" s="272"/>
      <c r="AD28" s="272"/>
      <c r="AE28" s="272"/>
      <c r="AF28" s="272"/>
      <c r="AG28" s="275"/>
      <c r="AH28" s="262"/>
      <c r="AI28" s="263"/>
      <c r="AJ28" s="263"/>
      <c r="AK28" s="263"/>
      <c r="AL28" s="263"/>
      <c r="AM28" s="266"/>
      <c r="AN28" s="38"/>
      <c r="AO28" s="332"/>
      <c r="AP28" s="333"/>
      <c r="AQ28" s="333"/>
      <c r="AR28" s="333"/>
      <c r="AS28" s="333"/>
      <c r="AT28" s="334"/>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row>
    <row r="29" spans="1:80" ht="15" customHeight="1" x14ac:dyDescent="0.35">
      <c r="A29" s="38"/>
      <c r="B29" s="300"/>
      <c r="C29" s="300"/>
      <c r="D29" s="301"/>
      <c r="E29" s="284"/>
      <c r="F29" s="285"/>
      <c r="G29" s="285"/>
      <c r="H29" s="285"/>
      <c r="I29" s="285"/>
      <c r="J29" s="244" t="str">
        <f>IF(AND('Mapa inherente'!$H$13="Baja",'Mapa inherente'!$L$13="Leve"),CONCATENATE("R",'Mapa inherente'!$A$13),"")</f>
        <v>R4</v>
      </c>
      <c r="K29" s="245"/>
      <c r="L29" s="245" t="str">
        <f>IF(AND('Mapa inherente'!$H$14="Baja",'Mapa inherente'!$L$14="Leve"),CONCATENATE("R",'Mapa inherente'!$A$14),"")</f>
        <v/>
      </c>
      <c r="M29" s="245"/>
      <c r="N29" s="245" t="str">
        <f>IF(AND('Mapa inherente'!$H$15="Baja",'Mapa inherente'!$L$15="Leve"),CONCATENATE("R",'Mapa inherente'!$A$15),"")</f>
        <v/>
      </c>
      <c r="O29" s="248"/>
      <c r="P29" s="253" t="str">
        <f>IF(AND('Mapa inherente'!$H$13="Baja",'Mapa inherente'!$L$13="Menor"),CONCATENATE("R",'Mapa inherente'!$A$13),"")</f>
        <v/>
      </c>
      <c r="Q29" s="254"/>
      <c r="R29" s="254" t="str">
        <f>IF(AND('Mapa inherente'!$H$14="Baja",'Mapa inherente'!$L$14="Menor"),CONCATENATE("R",'Mapa inherente'!$A$14),"")</f>
        <v/>
      </c>
      <c r="S29" s="254"/>
      <c r="T29" s="254" t="str">
        <f>IF(AND('Mapa inherente'!$H$15="Baja",'Mapa inherente'!$L$15="Menor"),CONCATENATE("R",'Mapa inherente'!$A$15),"")</f>
        <v/>
      </c>
      <c r="U29" s="257"/>
      <c r="V29" s="253" t="str">
        <f>IF(AND('Mapa inherente'!$H$13="Baja",'Mapa inherente'!$L$13="Moderado"),CONCATENATE("R",'Mapa inherente'!$A$13),"")</f>
        <v/>
      </c>
      <c r="W29" s="254"/>
      <c r="X29" s="254" t="str">
        <f>IF(AND('Mapa inherente'!$H$14="Baja",'Mapa inherente'!$L$14="Moderado"),CONCATENATE("R",'Mapa inherente'!$A$14),"")</f>
        <v/>
      </c>
      <c r="Y29" s="254"/>
      <c r="Z29" s="254" t="str">
        <f>IF(AND('Mapa inherente'!$H$15="Baja",'Mapa inherente'!$L$15="Moderado"),CONCATENATE("R",'Mapa inherente'!$A$15),"")</f>
        <v/>
      </c>
      <c r="AA29" s="257"/>
      <c r="AB29" s="271" t="str">
        <f>IF(AND('Mapa inherente'!$H$13="Baja",'Mapa inherente'!$L$13="Mayor"),CONCATENATE("R",'Mapa inherente'!$A$13),"")</f>
        <v/>
      </c>
      <c r="AC29" s="272"/>
      <c r="AD29" s="272" t="str">
        <f>IF(AND('Mapa inherente'!$H$14="Baja",'Mapa inherente'!$L$14="Mayor"),CONCATENATE("R",'Mapa inherente'!$A$14),"")</f>
        <v/>
      </c>
      <c r="AE29" s="272"/>
      <c r="AF29" s="272" t="str">
        <f>IF(AND('Mapa inherente'!$H$15="Baja",'Mapa inherente'!$L$15="Mayor"),CONCATENATE("R",'Mapa inherente'!$A$15),"")</f>
        <v/>
      </c>
      <c r="AG29" s="275"/>
      <c r="AH29" s="262" t="str">
        <f>IF(AND('Mapa inherente'!$H$13="Baja",'Mapa inherente'!$L$13="Catastrófico"),CONCATENATE("R",'Mapa inherente'!$A$13),"")</f>
        <v/>
      </c>
      <c r="AI29" s="263"/>
      <c r="AJ29" s="263" t="str">
        <f>IF(AND('Mapa inherente'!$H$14="Baja",'Mapa inherente'!$L$14="Catastrófico"),CONCATENATE("R",'Mapa inherente'!$A$14),"")</f>
        <v/>
      </c>
      <c r="AK29" s="263"/>
      <c r="AL29" s="263" t="str">
        <f>IF(AND('Mapa inherente'!$H$15="Baja",'Mapa inherente'!$L$15="Catastrófico"),CONCATENATE("R",'Mapa inherente'!$A$15),"")</f>
        <v>R6</v>
      </c>
      <c r="AM29" s="266"/>
      <c r="AN29" s="38"/>
      <c r="AO29" s="332"/>
      <c r="AP29" s="333"/>
      <c r="AQ29" s="333"/>
      <c r="AR29" s="333"/>
      <c r="AS29" s="333"/>
      <c r="AT29" s="334"/>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row>
    <row r="30" spans="1:80" ht="15" customHeight="1" x14ac:dyDescent="0.35">
      <c r="A30" s="38"/>
      <c r="B30" s="300"/>
      <c r="C30" s="300"/>
      <c r="D30" s="301"/>
      <c r="E30" s="284"/>
      <c r="F30" s="285"/>
      <c r="G30" s="285"/>
      <c r="H30" s="285"/>
      <c r="I30" s="285"/>
      <c r="J30" s="244"/>
      <c r="K30" s="245"/>
      <c r="L30" s="245"/>
      <c r="M30" s="245"/>
      <c r="N30" s="245"/>
      <c r="O30" s="248"/>
      <c r="P30" s="253"/>
      <c r="Q30" s="254"/>
      <c r="R30" s="254"/>
      <c r="S30" s="254"/>
      <c r="T30" s="254"/>
      <c r="U30" s="257"/>
      <c r="V30" s="253"/>
      <c r="W30" s="254"/>
      <c r="X30" s="254"/>
      <c r="Y30" s="254"/>
      <c r="Z30" s="254"/>
      <c r="AA30" s="257"/>
      <c r="AB30" s="271"/>
      <c r="AC30" s="272"/>
      <c r="AD30" s="272"/>
      <c r="AE30" s="272"/>
      <c r="AF30" s="272"/>
      <c r="AG30" s="275"/>
      <c r="AH30" s="262"/>
      <c r="AI30" s="263"/>
      <c r="AJ30" s="263"/>
      <c r="AK30" s="263"/>
      <c r="AL30" s="263"/>
      <c r="AM30" s="266"/>
      <c r="AN30" s="38"/>
      <c r="AO30" s="332"/>
      <c r="AP30" s="333"/>
      <c r="AQ30" s="333"/>
      <c r="AR30" s="333"/>
      <c r="AS30" s="333"/>
      <c r="AT30" s="334"/>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row>
    <row r="31" spans="1:80" ht="15" customHeight="1" x14ac:dyDescent="0.35">
      <c r="A31" s="38"/>
      <c r="B31" s="300"/>
      <c r="C31" s="300"/>
      <c r="D31" s="301"/>
      <c r="E31" s="284"/>
      <c r="F31" s="285"/>
      <c r="G31" s="285"/>
      <c r="H31" s="285"/>
      <c r="I31" s="285"/>
      <c r="J31" s="244"/>
      <c r="K31" s="245"/>
      <c r="L31" s="245"/>
      <c r="M31" s="245"/>
      <c r="N31" s="245"/>
      <c r="O31" s="248"/>
      <c r="P31" s="253"/>
      <c r="Q31" s="254"/>
      <c r="R31" s="254"/>
      <c r="S31" s="254"/>
      <c r="T31" s="254"/>
      <c r="U31" s="257"/>
      <c r="V31" s="253"/>
      <c r="W31" s="254"/>
      <c r="X31" s="254"/>
      <c r="Y31" s="254"/>
      <c r="Z31" s="254"/>
      <c r="AA31" s="257"/>
      <c r="AB31" s="271"/>
      <c r="AC31" s="272"/>
      <c r="AD31" s="272"/>
      <c r="AE31" s="272"/>
      <c r="AF31" s="272"/>
      <c r="AG31" s="275"/>
      <c r="AH31" s="262"/>
      <c r="AI31" s="263"/>
      <c r="AJ31" s="263"/>
      <c r="AK31" s="263"/>
      <c r="AL31" s="263"/>
      <c r="AM31" s="266"/>
      <c r="AN31" s="38"/>
      <c r="AO31" s="332"/>
      <c r="AP31" s="333"/>
      <c r="AQ31" s="333"/>
      <c r="AR31" s="333"/>
      <c r="AS31" s="333"/>
      <c r="AT31" s="334"/>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row>
    <row r="32" spans="1:80" ht="15.75" customHeight="1" thickBot="1" x14ac:dyDescent="0.4">
      <c r="A32" s="38"/>
      <c r="B32" s="300"/>
      <c r="C32" s="300"/>
      <c r="D32" s="301"/>
      <c r="E32" s="287"/>
      <c r="F32" s="288"/>
      <c r="G32" s="288"/>
      <c r="H32" s="288"/>
      <c r="I32" s="288"/>
      <c r="J32" s="246"/>
      <c r="K32" s="247"/>
      <c r="L32" s="247"/>
      <c r="M32" s="247"/>
      <c r="N32" s="247"/>
      <c r="O32" s="249"/>
      <c r="P32" s="255"/>
      <c r="Q32" s="256"/>
      <c r="R32" s="256"/>
      <c r="S32" s="256"/>
      <c r="T32" s="256"/>
      <c r="U32" s="258"/>
      <c r="V32" s="255"/>
      <c r="W32" s="256"/>
      <c r="X32" s="256"/>
      <c r="Y32" s="256"/>
      <c r="Z32" s="256"/>
      <c r="AA32" s="258"/>
      <c r="AB32" s="273"/>
      <c r="AC32" s="274"/>
      <c r="AD32" s="274"/>
      <c r="AE32" s="274"/>
      <c r="AF32" s="274"/>
      <c r="AG32" s="276"/>
      <c r="AH32" s="264"/>
      <c r="AI32" s="265"/>
      <c r="AJ32" s="265"/>
      <c r="AK32" s="265"/>
      <c r="AL32" s="265"/>
      <c r="AM32" s="267"/>
      <c r="AN32" s="38"/>
      <c r="AO32" s="335"/>
      <c r="AP32" s="336"/>
      <c r="AQ32" s="336"/>
      <c r="AR32" s="336"/>
      <c r="AS32" s="336"/>
      <c r="AT32" s="337"/>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row>
    <row r="33" spans="1:80" ht="15" customHeight="1" x14ac:dyDescent="0.35">
      <c r="A33" s="38"/>
      <c r="B33" s="300"/>
      <c r="C33" s="300"/>
      <c r="D33" s="301"/>
      <c r="E33" s="280" t="s">
        <v>103</v>
      </c>
      <c r="F33" s="282"/>
      <c r="G33" s="282"/>
      <c r="H33" s="282"/>
      <c r="I33" s="283"/>
      <c r="J33" s="250" t="str">
        <f>IF(AND('Mapa inherente'!$H$10="Muy Baja",'Mapa inherente'!$L$10="Leve"),CONCATENATE("R",'Mapa inherente'!$A$10),"")</f>
        <v/>
      </c>
      <c r="K33" s="251"/>
      <c r="L33" s="251" t="str">
        <f>IF(AND('Mapa inherente'!$H$11="Muy Baja",'Mapa inherente'!$L$11="Leve"),CONCATENATE("R",'Mapa inherente'!$A$11),"")</f>
        <v/>
      </c>
      <c r="M33" s="251"/>
      <c r="N33" s="251" t="str">
        <f>IF(AND('Mapa inherente'!$H$12="Muy Baja",'Mapa inherente'!$L$12="Leve"),CONCATENATE("R",'Mapa inherente'!$A$12),"")</f>
        <v/>
      </c>
      <c r="O33" s="252"/>
      <c r="P33" s="250" t="str">
        <f>IF(AND('Mapa inherente'!$H$10="Muy Baja",'Mapa inherente'!$L$10="Menor"),CONCATENATE("R",'Mapa inherente'!$A$10),"")</f>
        <v/>
      </c>
      <c r="Q33" s="251"/>
      <c r="R33" s="251" t="str">
        <f>IF(AND('Mapa inherente'!$H$11="Muy Baja",'Mapa inherente'!$L$11="Menor"),CONCATENATE("R",'Mapa inherente'!$A$11),"")</f>
        <v>R2</v>
      </c>
      <c r="S33" s="251"/>
      <c r="T33" s="251" t="str">
        <f>IF(AND('Mapa inherente'!$H$12="Muy Baja",'Mapa inherente'!$L$12="Menor"),CONCATENATE("R",'Mapa inherente'!$A$12),"")</f>
        <v/>
      </c>
      <c r="U33" s="252"/>
      <c r="V33" s="259" t="str">
        <f>IF(AND('Mapa inherente'!$H$10="Muy Baja",'Mapa inherente'!$L$10="Moderado"),CONCATENATE("R",'Mapa inherente'!$A$10),"")</f>
        <v>R1</v>
      </c>
      <c r="W33" s="260"/>
      <c r="X33" s="260" t="str">
        <f>IF(AND('Mapa inherente'!$H$11="Muy Baja",'Mapa inherente'!$L$11="Moderado"),CONCATENATE("R",'Mapa inherente'!$A$11),"")</f>
        <v/>
      </c>
      <c r="Y33" s="260"/>
      <c r="Z33" s="260" t="str">
        <f>IF(AND('Mapa inherente'!$H$12="Muy Baja",'Mapa inherente'!$L$12="Moderado"),CONCATENATE("R",'Mapa inherente'!$A$12),"")</f>
        <v>R3</v>
      </c>
      <c r="AA33" s="261"/>
      <c r="AB33" s="277" t="str">
        <f>IF(AND('Mapa inherente'!$H$10="Muy Baja",'Mapa inherente'!$L$10="Mayor"),CONCATENATE("R",'Mapa inherente'!$A$10),"")</f>
        <v/>
      </c>
      <c r="AC33" s="278"/>
      <c r="AD33" s="278" t="str">
        <f>IF(AND('Mapa inherente'!$H$11="Muy Baja",'Mapa inherente'!$L$11="Mayor"),CONCATENATE("R",'Mapa inherente'!$A$11),"")</f>
        <v/>
      </c>
      <c r="AE33" s="278"/>
      <c r="AF33" s="278" t="str">
        <f>IF(AND('Mapa inherente'!$H$12="Muy Baja",'Mapa inherente'!$L$12="Mayor"),CONCATENATE("R",'Mapa inherente'!$A$12),"")</f>
        <v/>
      </c>
      <c r="AG33" s="279"/>
      <c r="AH33" s="268" t="str">
        <f>IF(AND('Mapa inherente'!$H$10="Muy Baja",'Mapa inherente'!$L$10="Catastrófico"),CONCATENATE("R",'Mapa inherente'!$A$10),"")</f>
        <v/>
      </c>
      <c r="AI33" s="269"/>
      <c r="AJ33" s="269" t="str">
        <f>IF(AND('Mapa inherente'!$H$11="Muy Baja",'Mapa inherente'!$L$11="Catastrófico"),CONCATENATE("R",'Mapa inherente'!$A$11),"")</f>
        <v/>
      </c>
      <c r="AK33" s="269"/>
      <c r="AL33" s="269" t="str">
        <f>IF(AND('Mapa inherente'!$H$12="Muy Baja",'Mapa inherente'!$L$12="Catastrófico"),CONCATENATE("R",'Mapa inherente'!$A$12),"")</f>
        <v/>
      </c>
      <c r="AM33" s="270"/>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row>
    <row r="34" spans="1:80" ht="15" customHeight="1" x14ac:dyDescent="0.35">
      <c r="A34" s="38"/>
      <c r="B34" s="300"/>
      <c r="C34" s="300"/>
      <c r="D34" s="301"/>
      <c r="E34" s="284"/>
      <c r="F34" s="285"/>
      <c r="G34" s="285"/>
      <c r="H34" s="285"/>
      <c r="I34" s="286"/>
      <c r="J34" s="244"/>
      <c r="K34" s="245"/>
      <c r="L34" s="245"/>
      <c r="M34" s="245"/>
      <c r="N34" s="245"/>
      <c r="O34" s="248"/>
      <c r="P34" s="244"/>
      <c r="Q34" s="245"/>
      <c r="R34" s="245"/>
      <c r="S34" s="245"/>
      <c r="T34" s="245"/>
      <c r="U34" s="248"/>
      <c r="V34" s="253"/>
      <c r="W34" s="254"/>
      <c r="X34" s="254"/>
      <c r="Y34" s="254"/>
      <c r="Z34" s="254"/>
      <c r="AA34" s="257"/>
      <c r="AB34" s="271"/>
      <c r="AC34" s="272"/>
      <c r="AD34" s="272"/>
      <c r="AE34" s="272"/>
      <c r="AF34" s="272"/>
      <c r="AG34" s="275"/>
      <c r="AH34" s="262"/>
      <c r="AI34" s="263"/>
      <c r="AJ34" s="263"/>
      <c r="AK34" s="263"/>
      <c r="AL34" s="263"/>
      <c r="AM34" s="266"/>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row>
    <row r="35" spans="1:80" ht="15" customHeight="1" x14ac:dyDescent="0.35">
      <c r="A35" s="38"/>
      <c r="B35" s="300"/>
      <c r="C35" s="300"/>
      <c r="D35" s="301"/>
      <c r="E35" s="284"/>
      <c r="F35" s="285"/>
      <c r="G35" s="285"/>
      <c r="H35" s="285"/>
      <c r="I35" s="286"/>
      <c r="J35" s="244" t="str">
        <f>IF(AND('Mapa inherente'!$H$13="Muy Baja",'Mapa inherente'!$L$13="Leve"),CONCATENATE("R",'Mapa inherente'!$A$13),"")</f>
        <v/>
      </c>
      <c r="K35" s="245"/>
      <c r="L35" s="245" t="str">
        <f>IF(AND('Mapa inherente'!$H$14="Muy Baja",'Mapa inherente'!$L$14="Leve"),CONCATENATE("R",'Mapa inherente'!$A$14),"")</f>
        <v/>
      </c>
      <c r="M35" s="245"/>
      <c r="N35" s="245" t="str">
        <f>IF(AND('Mapa inherente'!$H$15="Muy Baja",'Mapa inherente'!$L$15="Leve"),CONCATENATE("R",'Mapa inherente'!$A$15),"")</f>
        <v/>
      </c>
      <c r="O35" s="248"/>
      <c r="P35" s="244" t="str">
        <f>IF(AND('Mapa inherente'!$H$13="Muy Baja",'Mapa inherente'!$L$13="Menor"),CONCATENATE("R",'Mapa inherente'!$A$13),"")</f>
        <v/>
      </c>
      <c r="Q35" s="245"/>
      <c r="R35" s="245" t="str">
        <f>IF(AND('Mapa inherente'!$H$14="Muy Baja",'Mapa inherente'!$L$14="Menor"),CONCATENATE("R",'Mapa inherente'!$A$14),"")</f>
        <v/>
      </c>
      <c r="S35" s="245"/>
      <c r="T35" s="245" t="str">
        <f>IF(AND('Mapa inherente'!$H$15="Muy Baja",'Mapa inherente'!$L$15="Menor"),CONCATENATE("R",'Mapa inherente'!$A$15),"")</f>
        <v/>
      </c>
      <c r="U35" s="248"/>
      <c r="V35" s="253" t="str">
        <f>IF(AND('Mapa inherente'!$H$13="Muy Baja",'Mapa inherente'!$L$13="Moderado"),CONCATENATE("R",'Mapa inherente'!$A$13),"")</f>
        <v/>
      </c>
      <c r="W35" s="254"/>
      <c r="X35" s="254" t="str">
        <f>IF(AND('Mapa inherente'!$H$14="Muy Baja",'Mapa inherente'!$L$14="Moderado"),CONCATENATE("R",'Mapa inherente'!$A$14),"")</f>
        <v/>
      </c>
      <c r="Y35" s="254"/>
      <c r="Z35" s="254" t="str">
        <f>IF(AND('Mapa inherente'!$H$15="Muy Baja",'Mapa inherente'!$L$15="Moderado"),CONCATENATE("R",'Mapa inherente'!$A$15),"")</f>
        <v/>
      </c>
      <c r="AA35" s="257"/>
      <c r="AB35" s="271" t="str">
        <f>IF(AND('Mapa inherente'!$H$13="Muy Baja",'Mapa inherente'!$L$13="Mayor"),CONCATENATE("R",'Mapa inherente'!$A$13),"")</f>
        <v/>
      </c>
      <c r="AC35" s="272"/>
      <c r="AD35" s="272" t="str">
        <f>IF(AND('Mapa inherente'!$H$14="Muy Baja",'Mapa inherente'!$L$14="Mayor"),CONCATENATE("R",'Mapa inherente'!$A$14),"")</f>
        <v/>
      </c>
      <c r="AE35" s="272"/>
      <c r="AF35" s="272" t="str">
        <f>IF(AND('Mapa inherente'!$H$15="Muy Baja",'Mapa inherente'!$L$15="Mayor"),CONCATENATE("R",'Mapa inherente'!$A$15),"")</f>
        <v/>
      </c>
      <c r="AG35" s="275"/>
      <c r="AH35" s="262" t="str">
        <f>IF(AND('Mapa inherente'!$H$13="Muy Baja",'Mapa inherente'!$L$13="Catastrófico"),CONCATENATE("R",'Mapa inherente'!$A$13),"")</f>
        <v/>
      </c>
      <c r="AI35" s="263"/>
      <c r="AJ35" s="263" t="str">
        <f>IF(AND('Mapa inherente'!$H$14="Muy Baja",'Mapa inherente'!$L$14="Catastrófico"),CONCATENATE("R",'Mapa inherente'!$A$14),"")</f>
        <v/>
      </c>
      <c r="AK35" s="263"/>
      <c r="AL35" s="263" t="str">
        <f>IF(AND('Mapa inherente'!$H$15="Muy Baja",'Mapa inherente'!$L$15="Catastrófico"),CONCATENATE("R",'Mapa inherente'!$A$15),"")</f>
        <v/>
      </c>
      <c r="AM35" s="266"/>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row>
    <row r="36" spans="1:80" ht="15" customHeight="1" x14ac:dyDescent="0.35">
      <c r="A36" s="38"/>
      <c r="B36" s="300"/>
      <c r="C36" s="300"/>
      <c r="D36" s="301"/>
      <c r="E36" s="284"/>
      <c r="F36" s="285"/>
      <c r="G36" s="285"/>
      <c r="H36" s="285"/>
      <c r="I36" s="286"/>
      <c r="J36" s="244"/>
      <c r="K36" s="245"/>
      <c r="L36" s="245"/>
      <c r="M36" s="245"/>
      <c r="N36" s="245"/>
      <c r="O36" s="248"/>
      <c r="P36" s="244"/>
      <c r="Q36" s="245"/>
      <c r="R36" s="245"/>
      <c r="S36" s="245"/>
      <c r="T36" s="245"/>
      <c r="U36" s="248"/>
      <c r="V36" s="253"/>
      <c r="W36" s="254"/>
      <c r="X36" s="254"/>
      <c r="Y36" s="254"/>
      <c r="Z36" s="254"/>
      <c r="AA36" s="257"/>
      <c r="AB36" s="271"/>
      <c r="AC36" s="272"/>
      <c r="AD36" s="272"/>
      <c r="AE36" s="272"/>
      <c r="AF36" s="272"/>
      <c r="AG36" s="275"/>
      <c r="AH36" s="262"/>
      <c r="AI36" s="263"/>
      <c r="AJ36" s="263"/>
      <c r="AK36" s="263"/>
      <c r="AL36" s="263"/>
      <c r="AM36" s="266"/>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row>
    <row r="37" spans="1:80" ht="15" customHeight="1" x14ac:dyDescent="0.35">
      <c r="A37" s="38"/>
      <c r="B37" s="300"/>
      <c r="C37" s="300"/>
      <c r="D37" s="301"/>
      <c r="E37" s="284"/>
      <c r="F37" s="285"/>
      <c r="G37" s="285"/>
      <c r="H37" s="285"/>
      <c r="I37" s="286"/>
      <c r="J37" s="244"/>
      <c r="K37" s="245"/>
      <c r="L37" s="245"/>
      <c r="M37" s="245"/>
      <c r="N37" s="245"/>
      <c r="O37" s="248"/>
      <c r="P37" s="244"/>
      <c r="Q37" s="245"/>
      <c r="R37" s="245"/>
      <c r="S37" s="245"/>
      <c r="T37" s="245"/>
      <c r="U37" s="248"/>
      <c r="V37" s="253"/>
      <c r="W37" s="254"/>
      <c r="X37" s="254"/>
      <c r="Y37" s="254"/>
      <c r="Z37" s="254"/>
      <c r="AA37" s="257"/>
      <c r="AB37" s="271"/>
      <c r="AC37" s="272"/>
      <c r="AD37" s="272"/>
      <c r="AE37" s="272"/>
      <c r="AF37" s="272"/>
      <c r="AG37" s="275"/>
      <c r="AH37" s="262"/>
      <c r="AI37" s="263"/>
      <c r="AJ37" s="263"/>
      <c r="AK37" s="263"/>
      <c r="AL37" s="263"/>
      <c r="AM37" s="266"/>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row>
    <row r="38" spans="1:80" ht="15.75" customHeight="1" thickBot="1" x14ac:dyDescent="0.4">
      <c r="A38" s="38"/>
      <c r="B38" s="300"/>
      <c r="C38" s="300"/>
      <c r="D38" s="301"/>
      <c r="E38" s="287"/>
      <c r="F38" s="288"/>
      <c r="G38" s="288"/>
      <c r="H38" s="288"/>
      <c r="I38" s="289"/>
      <c r="J38" s="246"/>
      <c r="K38" s="247"/>
      <c r="L38" s="247"/>
      <c r="M38" s="247"/>
      <c r="N38" s="247"/>
      <c r="O38" s="249"/>
      <c r="P38" s="246"/>
      <c r="Q38" s="247"/>
      <c r="R38" s="247"/>
      <c r="S38" s="247"/>
      <c r="T38" s="247"/>
      <c r="U38" s="249"/>
      <c r="V38" s="255"/>
      <c r="W38" s="256"/>
      <c r="X38" s="256"/>
      <c r="Y38" s="256"/>
      <c r="Z38" s="256"/>
      <c r="AA38" s="258"/>
      <c r="AB38" s="273"/>
      <c r="AC38" s="274"/>
      <c r="AD38" s="274"/>
      <c r="AE38" s="274"/>
      <c r="AF38" s="274"/>
      <c r="AG38" s="276"/>
      <c r="AH38" s="264"/>
      <c r="AI38" s="265"/>
      <c r="AJ38" s="265"/>
      <c r="AK38" s="265"/>
      <c r="AL38" s="265"/>
      <c r="AM38" s="267"/>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row>
    <row r="39" spans="1:80" x14ac:dyDescent="0.35">
      <c r="A39" s="38"/>
      <c r="B39" s="38"/>
      <c r="C39" s="38"/>
      <c r="D39" s="38"/>
      <c r="E39" s="38"/>
      <c r="F39" s="38"/>
      <c r="G39" s="38"/>
      <c r="H39" s="38"/>
      <c r="I39" s="38"/>
      <c r="J39" s="280" t="s">
        <v>102</v>
      </c>
      <c r="K39" s="282"/>
      <c r="L39" s="282"/>
      <c r="M39" s="282"/>
      <c r="N39" s="282"/>
      <c r="O39" s="283"/>
      <c r="P39" s="280" t="s">
        <v>101</v>
      </c>
      <c r="Q39" s="282"/>
      <c r="R39" s="282"/>
      <c r="S39" s="282"/>
      <c r="T39" s="282"/>
      <c r="U39" s="283"/>
      <c r="V39" s="280" t="s">
        <v>100</v>
      </c>
      <c r="W39" s="282"/>
      <c r="X39" s="282"/>
      <c r="Y39" s="282"/>
      <c r="Z39" s="282"/>
      <c r="AA39" s="283"/>
      <c r="AB39" s="280" t="s">
        <v>99</v>
      </c>
      <c r="AC39" s="281"/>
      <c r="AD39" s="282"/>
      <c r="AE39" s="282"/>
      <c r="AF39" s="282"/>
      <c r="AG39" s="283"/>
      <c r="AH39" s="280" t="s">
        <v>98</v>
      </c>
      <c r="AI39" s="282"/>
      <c r="AJ39" s="282"/>
      <c r="AK39" s="282"/>
      <c r="AL39" s="282"/>
      <c r="AM39" s="283"/>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row>
    <row r="40" spans="1:80" x14ac:dyDescent="0.35">
      <c r="A40" s="38"/>
      <c r="B40" s="38"/>
      <c r="C40" s="38"/>
      <c r="D40" s="38"/>
      <c r="E40" s="38"/>
      <c r="F40" s="38"/>
      <c r="G40" s="38"/>
      <c r="H40" s="38"/>
      <c r="I40" s="38"/>
      <c r="J40" s="284"/>
      <c r="K40" s="285"/>
      <c r="L40" s="285"/>
      <c r="M40" s="285"/>
      <c r="N40" s="285"/>
      <c r="O40" s="286"/>
      <c r="P40" s="284"/>
      <c r="Q40" s="285"/>
      <c r="R40" s="285"/>
      <c r="S40" s="285"/>
      <c r="T40" s="285"/>
      <c r="U40" s="286"/>
      <c r="V40" s="284"/>
      <c r="W40" s="285"/>
      <c r="X40" s="285"/>
      <c r="Y40" s="285"/>
      <c r="Z40" s="285"/>
      <c r="AA40" s="286"/>
      <c r="AB40" s="284"/>
      <c r="AC40" s="285"/>
      <c r="AD40" s="285"/>
      <c r="AE40" s="285"/>
      <c r="AF40" s="285"/>
      <c r="AG40" s="286"/>
      <c r="AH40" s="284"/>
      <c r="AI40" s="285"/>
      <c r="AJ40" s="285"/>
      <c r="AK40" s="285"/>
      <c r="AL40" s="285"/>
      <c r="AM40" s="286"/>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row>
    <row r="41" spans="1:80" x14ac:dyDescent="0.35">
      <c r="A41" s="38"/>
      <c r="B41" s="38"/>
      <c r="C41" s="38"/>
      <c r="D41" s="38"/>
      <c r="E41" s="38"/>
      <c r="F41" s="38"/>
      <c r="G41" s="38"/>
      <c r="H41" s="38"/>
      <c r="I41" s="38"/>
      <c r="J41" s="284"/>
      <c r="K41" s="285"/>
      <c r="L41" s="285"/>
      <c r="M41" s="285"/>
      <c r="N41" s="285"/>
      <c r="O41" s="286"/>
      <c r="P41" s="284"/>
      <c r="Q41" s="285"/>
      <c r="R41" s="285"/>
      <c r="S41" s="285"/>
      <c r="T41" s="285"/>
      <c r="U41" s="286"/>
      <c r="V41" s="284"/>
      <c r="W41" s="285"/>
      <c r="X41" s="285"/>
      <c r="Y41" s="285"/>
      <c r="Z41" s="285"/>
      <c r="AA41" s="286"/>
      <c r="AB41" s="284"/>
      <c r="AC41" s="285"/>
      <c r="AD41" s="285"/>
      <c r="AE41" s="285"/>
      <c r="AF41" s="285"/>
      <c r="AG41" s="286"/>
      <c r="AH41" s="284"/>
      <c r="AI41" s="285"/>
      <c r="AJ41" s="285"/>
      <c r="AK41" s="285"/>
      <c r="AL41" s="285"/>
      <c r="AM41" s="286"/>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row>
    <row r="42" spans="1:80" x14ac:dyDescent="0.35">
      <c r="A42" s="38"/>
      <c r="B42" s="38"/>
      <c r="C42" s="38"/>
      <c r="D42" s="38"/>
      <c r="E42" s="38"/>
      <c r="F42" s="38"/>
      <c r="G42" s="38"/>
      <c r="H42" s="38"/>
      <c r="I42" s="38"/>
      <c r="J42" s="284"/>
      <c r="K42" s="285"/>
      <c r="L42" s="285"/>
      <c r="M42" s="285"/>
      <c r="N42" s="285"/>
      <c r="O42" s="286"/>
      <c r="P42" s="284"/>
      <c r="Q42" s="285"/>
      <c r="R42" s="285"/>
      <c r="S42" s="285"/>
      <c r="T42" s="285"/>
      <c r="U42" s="286"/>
      <c r="V42" s="284"/>
      <c r="W42" s="285"/>
      <c r="X42" s="285"/>
      <c r="Y42" s="285"/>
      <c r="Z42" s="285"/>
      <c r="AA42" s="286"/>
      <c r="AB42" s="284"/>
      <c r="AC42" s="285"/>
      <c r="AD42" s="285"/>
      <c r="AE42" s="285"/>
      <c r="AF42" s="285"/>
      <c r="AG42" s="286"/>
      <c r="AH42" s="284"/>
      <c r="AI42" s="285"/>
      <c r="AJ42" s="285"/>
      <c r="AK42" s="285"/>
      <c r="AL42" s="285"/>
      <c r="AM42" s="286"/>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row>
    <row r="43" spans="1:80" x14ac:dyDescent="0.35">
      <c r="A43" s="38"/>
      <c r="B43" s="38"/>
      <c r="C43" s="38"/>
      <c r="D43" s="38"/>
      <c r="E43" s="38"/>
      <c r="F43" s="38"/>
      <c r="G43" s="38"/>
      <c r="H43" s="38"/>
      <c r="I43" s="38"/>
      <c r="J43" s="284"/>
      <c r="K43" s="285"/>
      <c r="L43" s="285"/>
      <c r="M43" s="285"/>
      <c r="N43" s="285"/>
      <c r="O43" s="286"/>
      <c r="P43" s="284"/>
      <c r="Q43" s="285"/>
      <c r="R43" s="285"/>
      <c r="S43" s="285"/>
      <c r="T43" s="285"/>
      <c r="U43" s="286"/>
      <c r="V43" s="284"/>
      <c r="W43" s="285"/>
      <c r="X43" s="285"/>
      <c r="Y43" s="285"/>
      <c r="Z43" s="285"/>
      <c r="AA43" s="286"/>
      <c r="AB43" s="284"/>
      <c r="AC43" s="285"/>
      <c r="AD43" s="285"/>
      <c r="AE43" s="285"/>
      <c r="AF43" s="285"/>
      <c r="AG43" s="286"/>
      <c r="AH43" s="284"/>
      <c r="AI43" s="285"/>
      <c r="AJ43" s="285"/>
      <c r="AK43" s="285"/>
      <c r="AL43" s="285"/>
      <c r="AM43" s="286"/>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row>
    <row r="44" spans="1:80" ht="15" thickBot="1" x14ac:dyDescent="0.4">
      <c r="A44" s="38"/>
      <c r="B44" s="38"/>
      <c r="C44" s="38"/>
      <c r="D44" s="38"/>
      <c r="E44" s="38"/>
      <c r="F44" s="38"/>
      <c r="G44" s="38"/>
      <c r="H44" s="38"/>
      <c r="I44" s="38"/>
      <c r="J44" s="287"/>
      <c r="K44" s="288"/>
      <c r="L44" s="288"/>
      <c r="M44" s="288"/>
      <c r="N44" s="288"/>
      <c r="O44" s="289"/>
      <c r="P44" s="287"/>
      <c r="Q44" s="288"/>
      <c r="R44" s="288"/>
      <c r="S44" s="288"/>
      <c r="T44" s="288"/>
      <c r="U44" s="289"/>
      <c r="V44" s="287"/>
      <c r="W44" s="288"/>
      <c r="X44" s="288"/>
      <c r="Y44" s="288"/>
      <c r="Z44" s="288"/>
      <c r="AA44" s="289"/>
      <c r="AB44" s="287"/>
      <c r="AC44" s="288"/>
      <c r="AD44" s="288"/>
      <c r="AE44" s="288"/>
      <c r="AF44" s="288"/>
      <c r="AG44" s="289"/>
      <c r="AH44" s="287"/>
      <c r="AI44" s="288"/>
      <c r="AJ44" s="288"/>
      <c r="AK44" s="288"/>
      <c r="AL44" s="288"/>
      <c r="AM44" s="289"/>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row>
    <row r="45" spans="1:80" x14ac:dyDescent="0.35">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row>
    <row r="46" spans="1:80" ht="15" customHeight="1" x14ac:dyDescent="0.35">
      <c r="A46" s="38"/>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row>
    <row r="47" spans="1:80" ht="15" customHeight="1" x14ac:dyDescent="0.35">
      <c r="A47" s="38"/>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row>
    <row r="48" spans="1:80" x14ac:dyDescent="0.3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row>
    <row r="49" spans="1:80" x14ac:dyDescent="0.35">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row>
    <row r="50" spans="1:80" x14ac:dyDescent="0.35">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row>
    <row r="51" spans="1:80" x14ac:dyDescent="0.35">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row>
    <row r="52" spans="1:80" x14ac:dyDescent="0.35">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row>
    <row r="53" spans="1:80" x14ac:dyDescent="0.35">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row>
    <row r="54" spans="1:80" x14ac:dyDescent="0.35">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row>
    <row r="55" spans="1:80" x14ac:dyDescent="0.35">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row>
    <row r="56" spans="1:80" x14ac:dyDescent="0.35">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row>
    <row r="57" spans="1:80" x14ac:dyDescent="0.35">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row>
    <row r="58" spans="1:80" x14ac:dyDescent="0.35">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row>
    <row r="59" spans="1:80" x14ac:dyDescent="0.35">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row>
    <row r="60" spans="1:80" x14ac:dyDescent="0.35">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row>
    <row r="61" spans="1:80" x14ac:dyDescent="0.35">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row>
    <row r="62" spans="1:80" x14ac:dyDescent="0.35">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row>
    <row r="63" spans="1:80" x14ac:dyDescent="0.35">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row>
    <row r="64" spans="1:80" x14ac:dyDescent="0.35">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row>
    <row r="65" spans="1:80" x14ac:dyDescent="0.35">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row>
    <row r="66" spans="1:80" x14ac:dyDescent="0.35">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row>
    <row r="67" spans="1:80" x14ac:dyDescent="0.35">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row>
    <row r="68" spans="1:80" x14ac:dyDescent="0.35">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row>
    <row r="69" spans="1:80" x14ac:dyDescent="0.35">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row>
    <row r="70" spans="1:80" x14ac:dyDescent="0.35">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row>
    <row r="71" spans="1:80" x14ac:dyDescent="0.35">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row>
    <row r="72" spans="1:80" x14ac:dyDescent="0.35">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row>
    <row r="73" spans="1:80" x14ac:dyDescent="0.35">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row>
    <row r="74" spans="1:80" x14ac:dyDescent="0.35">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row>
    <row r="75" spans="1:80" x14ac:dyDescent="0.35">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row>
    <row r="76" spans="1:80" x14ac:dyDescent="0.35">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row>
    <row r="77" spans="1:80" x14ac:dyDescent="0.35">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row>
    <row r="78" spans="1:80" x14ac:dyDescent="0.35">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row>
    <row r="79" spans="1:80" x14ac:dyDescent="0.35">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row>
    <row r="80" spans="1:80" x14ac:dyDescent="0.35">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row>
    <row r="81" spans="1:63" x14ac:dyDescent="0.35">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row>
    <row r="82" spans="1:63" x14ac:dyDescent="0.35">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row>
    <row r="83" spans="1:63" x14ac:dyDescent="0.35">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row>
    <row r="84" spans="1:63" x14ac:dyDescent="0.35">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row>
    <row r="85" spans="1:63" x14ac:dyDescent="0.35">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row>
    <row r="86" spans="1:63" x14ac:dyDescent="0.35">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row>
    <row r="87" spans="1:63" x14ac:dyDescent="0.35">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row>
    <row r="88" spans="1:63" x14ac:dyDescent="0.35">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row>
    <row r="89" spans="1:63" x14ac:dyDescent="0.35">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row>
    <row r="90" spans="1:63" x14ac:dyDescent="0.35">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row>
    <row r="91" spans="1:63" x14ac:dyDescent="0.35">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row>
    <row r="92" spans="1:63" x14ac:dyDescent="0.35">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row>
    <row r="93" spans="1:63" x14ac:dyDescent="0.35">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row>
    <row r="94" spans="1:63" x14ac:dyDescent="0.35">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row>
    <row r="95" spans="1:63" x14ac:dyDescent="0.35">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row>
    <row r="96" spans="1:63" x14ac:dyDescent="0.35">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row>
    <row r="97" spans="1:63" x14ac:dyDescent="0.35">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row>
    <row r="98" spans="1:63" x14ac:dyDescent="0.35">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row>
    <row r="99" spans="1:63" x14ac:dyDescent="0.35">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row>
    <row r="100" spans="1:63" x14ac:dyDescent="0.35">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row>
    <row r="101" spans="1:63" x14ac:dyDescent="0.35">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row>
    <row r="102" spans="1:63" x14ac:dyDescent="0.35">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row>
    <row r="103" spans="1:63" x14ac:dyDescent="0.35">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row>
    <row r="104" spans="1:63" x14ac:dyDescent="0.35">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row>
    <row r="105" spans="1:63" x14ac:dyDescent="0.35">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row>
    <row r="106" spans="1:63" x14ac:dyDescent="0.35">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row>
    <row r="107" spans="1:63" x14ac:dyDescent="0.35">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row>
    <row r="108" spans="1:63" x14ac:dyDescent="0.35">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row>
    <row r="109" spans="1:63" x14ac:dyDescent="0.35">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row>
    <row r="110" spans="1:63" x14ac:dyDescent="0.35">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row>
    <row r="111" spans="1:63" x14ac:dyDescent="0.35">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row>
    <row r="112" spans="1:63" x14ac:dyDescent="0.35">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row>
    <row r="113" spans="1:63" x14ac:dyDescent="0.35">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row>
    <row r="114" spans="1:63" x14ac:dyDescent="0.35">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row>
    <row r="115" spans="1:63" x14ac:dyDescent="0.35">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row>
    <row r="116" spans="1:63" x14ac:dyDescent="0.35">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row>
    <row r="117" spans="1:63" x14ac:dyDescent="0.35">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row>
    <row r="118" spans="1:63" x14ac:dyDescent="0.35">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row>
    <row r="119" spans="1:63" x14ac:dyDescent="0.35">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row>
    <row r="120" spans="1:63" x14ac:dyDescent="0.35">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row>
    <row r="121" spans="1:63" x14ac:dyDescent="0.35">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row>
    <row r="122" spans="1:63" x14ac:dyDescent="0.35">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row>
    <row r="123" spans="1:63" x14ac:dyDescent="0.35">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row>
    <row r="124" spans="1:63" x14ac:dyDescent="0.35">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row>
    <row r="125" spans="1:63" x14ac:dyDescent="0.35">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row>
    <row r="126" spans="1:63" x14ac:dyDescent="0.35">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row>
    <row r="127" spans="1:63" x14ac:dyDescent="0.35">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row>
    <row r="128" spans="1:63" x14ac:dyDescent="0.35">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row>
    <row r="129" spans="2:63" x14ac:dyDescent="0.35">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row>
    <row r="130" spans="2:63" x14ac:dyDescent="0.35">
      <c r="B130" s="38"/>
      <c r="C130" s="38"/>
      <c r="D130" s="38"/>
      <c r="E130" s="38"/>
      <c r="F130" s="38"/>
      <c r="G130" s="38"/>
      <c r="H130" s="38"/>
      <c r="I130" s="38"/>
    </row>
    <row r="131" spans="2:63" x14ac:dyDescent="0.35">
      <c r="B131" s="38"/>
      <c r="C131" s="38"/>
      <c r="D131" s="38"/>
      <c r="E131" s="38"/>
      <c r="F131" s="38"/>
      <c r="G131" s="38"/>
      <c r="H131" s="38"/>
      <c r="I131" s="38"/>
    </row>
    <row r="132" spans="2:63" x14ac:dyDescent="0.35">
      <c r="B132" s="38"/>
      <c r="C132" s="38"/>
      <c r="D132" s="38"/>
      <c r="E132" s="38"/>
      <c r="F132" s="38"/>
      <c r="G132" s="38"/>
      <c r="H132" s="38"/>
      <c r="I132" s="38"/>
    </row>
    <row r="133" spans="2:63" x14ac:dyDescent="0.35">
      <c r="B133" s="38"/>
      <c r="C133" s="38"/>
      <c r="D133" s="38"/>
      <c r="E133" s="38"/>
      <c r="F133" s="38"/>
      <c r="G133" s="38"/>
      <c r="H133" s="38"/>
      <c r="I133" s="38"/>
    </row>
  </sheetData>
  <mergeCells count="246">
    <mergeCell ref="B2:I3"/>
    <mergeCell ref="J2:AM2"/>
    <mergeCell ref="J3:AM3"/>
    <mergeCell ref="AN2:AT3"/>
    <mergeCell ref="B9:D38"/>
    <mergeCell ref="AO9:AT14"/>
    <mergeCell ref="AO15:AT20"/>
    <mergeCell ref="AO21:AT26"/>
    <mergeCell ref="AO27:AT32"/>
    <mergeCell ref="E21:I26"/>
    <mergeCell ref="E33:I38"/>
    <mergeCell ref="J5:AM7"/>
    <mergeCell ref="E9:I14"/>
    <mergeCell ref="E15:I20"/>
    <mergeCell ref="E27:I32"/>
    <mergeCell ref="AB9:AC10"/>
    <mergeCell ref="AD9:AE10"/>
    <mergeCell ref="AB15:AC16"/>
    <mergeCell ref="AD15:AE16"/>
    <mergeCell ref="AF15:AG16"/>
    <mergeCell ref="AB17:AC18"/>
    <mergeCell ref="AD17:AE18"/>
    <mergeCell ref="AF17:AG18"/>
    <mergeCell ref="AB19:AC20"/>
    <mergeCell ref="J39:O44"/>
    <mergeCell ref="P39:U44"/>
    <mergeCell ref="V39:AA44"/>
    <mergeCell ref="N13:O14"/>
    <mergeCell ref="V9:W10"/>
    <mergeCell ref="X9:Y10"/>
    <mergeCell ref="Z9:AA10"/>
    <mergeCell ref="V11:W12"/>
    <mergeCell ref="X11:Y12"/>
    <mergeCell ref="Z11:AA12"/>
    <mergeCell ref="R9:S10"/>
    <mergeCell ref="T9:U10"/>
    <mergeCell ref="V13:W14"/>
    <mergeCell ref="X13:Y14"/>
    <mergeCell ref="V19:W20"/>
    <mergeCell ref="X19:Y20"/>
    <mergeCell ref="Z19:AA20"/>
    <mergeCell ref="V15:W16"/>
    <mergeCell ref="X15:Y16"/>
    <mergeCell ref="Z15:AA16"/>
    <mergeCell ref="V17:W18"/>
    <mergeCell ref="X17:Y18"/>
    <mergeCell ref="Z17:AA18"/>
    <mergeCell ref="J19:K20"/>
    <mergeCell ref="AB39:AG44"/>
    <mergeCell ref="AH39:AM44"/>
    <mergeCell ref="P9:Q10"/>
    <mergeCell ref="P13:Q14"/>
    <mergeCell ref="J9:K10"/>
    <mergeCell ref="N9:O10"/>
    <mergeCell ref="N11:O12"/>
    <mergeCell ref="L11:M12"/>
    <mergeCell ref="J11:K12"/>
    <mergeCell ref="P11:Q12"/>
    <mergeCell ref="R11:S12"/>
    <mergeCell ref="T11:U12"/>
    <mergeCell ref="R13:S14"/>
    <mergeCell ref="T13:U14"/>
    <mergeCell ref="J13:K14"/>
    <mergeCell ref="L13:M14"/>
    <mergeCell ref="AF9:AG10"/>
    <mergeCell ref="AB11:AC12"/>
    <mergeCell ref="AD11:AE12"/>
    <mergeCell ref="AF11:AG12"/>
    <mergeCell ref="AB13:AC14"/>
    <mergeCell ref="AD13:AE14"/>
    <mergeCell ref="AF13:AG14"/>
    <mergeCell ref="Z13:AA14"/>
    <mergeCell ref="AD19:AE20"/>
    <mergeCell ref="AF19:AG20"/>
    <mergeCell ref="AB25:AC26"/>
    <mergeCell ref="AD25:AE26"/>
    <mergeCell ref="AF25:AG26"/>
    <mergeCell ref="AB21:AC22"/>
    <mergeCell ref="AD21:AE22"/>
    <mergeCell ref="AF21:AG22"/>
    <mergeCell ref="AB23:AC24"/>
    <mergeCell ref="AD23:AE24"/>
    <mergeCell ref="AF23:AG24"/>
    <mergeCell ref="AB31:AC32"/>
    <mergeCell ref="AD31:AE32"/>
    <mergeCell ref="AF31:AG32"/>
    <mergeCell ref="AB27:AC28"/>
    <mergeCell ref="AD27:AE28"/>
    <mergeCell ref="AF27:AG28"/>
    <mergeCell ref="AB29:AC30"/>
    <mergeCell ref="AD29:AE30"/>
    <mergeCell ref="AF29:AG30"/>
    <mergeCell ref="AB37:AC38"/>
    <mergeCell ref="AD37:AE38"/>
    <mergeCell ref="AF37:AG38"/>
    <mergeCell ref="AB33:AC34"/>
    <mergeCell ref="AD33:AE34"/>
    <mergeCell ref="AF33:AG34"/>
    <mergeCell ref="AB35:AC36"/>
    <mergeCell ref="AD35:AE36"/>
    <mergeCell ref="AF35:AG36"/>
    <mergeCell ref="AH13:AI14"/>
    <mergeCell ref="AJ13:AK14"/>
    <mergeCell ref="AL13:AM14"/>
    <mergeCell ref="AH9:AI10"/>
    <mergeCell ref="AJ9:AK10"/>
    <mergeCell ref="AL9:AM10"/>
    <mergeCell ref="AH11:AI12"/>
    <mergeCell ref="AJ11:AK12"/>
    <mergeCell ref="AL11:AM12"/>
    <mergeCell ref="AJ21:AK22"/>
    <mergeCell ref="AL21:AM22"/>
    <mergeCell ref="AH23:AI24"/>
    <mergeCell ref="AJ23:AK24"/>
    <mergeCell ref="AL23:AM24"/>
    <mergeCell ref="AH19:AI20"/>
    <mergeCell ref="AJ19:AK20"/>
    <mergeCell ref="AL19:AM20"/>
    <mergeCell ref="AH15:AI16"/>
    <mergeCell ref="AJ15:AK16"/>
    <mergeCell ref="AL15:AM16"/>
    <mergeCell ref="AH17:AI18"/>
    <mergeCell ref="AJ17:AK18"/>
    <mergeCell ref="AL17:AM18"/>
    <mergeCell ref="N17:O18"/>
    <mergeCell ref="P19:Q20"/>
    <mergeCell ref="AH37:AI38"/>
    <mergeCell ref="AJ37:AK38"/>
    <mergeCell ref="AL37:AM38"/>
    <mergeCell ref="AH33:AI34"/>
    <mergeCell ref="AJ33:AK34"/>
    <mergeCell ref="AL33:AM34"/>
    <mergeCell ref="AH35:AI36"/>
    <mergeCell ref="AJ35:AK36"/>
    <mergeCell ref="AL35:AM36"/>
    <mergeCell ref="AH31:AI32"/>
    <mergeCell ref="AJ31:AK32"/>
    <mergeCell ref="AL31:AM32"/>
    <mergeCell ref="AH27:AI28"/>
    <mergeCell ref="AJ27:AK28"/>
    <mergeCell ref="AL27:AM28"/>
    <mergeCell ref="AH29:AI30"/>
    <mergeCell ref="AJ29:AK30"/>
    <mergeCell ref="AL29:AM30"/>
    <mergeCell ref="AH25:AI26"/>
    <mergeCell ref="AJ25:AK26"/>
    <mergeCell ref="AL25:AM26"/>
    <mergeCell ref="AH21:AI22"/>
    <mergeCell ref="R19:S20"/>
    <mergeCell ref="T19:U20"/>
    <mergeCell ref="P15:Q16"/>
    <mergeCell ref="R15:S16"/>
    <mergeCell ref="T15:U16"/>
    <mergeCell ref="P17:Q18"/>
    <mergeCell ref="R17:S18"/>
    <mergeCell ref="T17:U18"/>
    <mergeCell ref="J25:K26"/>
    <mergeCell ref="L25:M26"/>
    <mergeCell ref="N25:O26"/>
    <mergeCell ref="J21:K22"/>
    <mergeCell ref="L21:M22"/>
    <mergeCell ref="N21:O22"/>
    <mergeCell ref="J23:K24"/>
    <mergeCell ref="L23:M24"/>
    <mergeCell ref="N23:O24"/>
    <mergeCell ref="L19:M20"/>
    <mergeCell ref="N19:O20"/>
    <mergeCell ref="J15:K16"/>
    <mergeCell ref="L15:M16"/>
    <mergeCell ref="N15:O16"/>
    <mergeCell ref="J17:K18"/>
    <mergeCell ref="L17:M18"/>
    <mergeCell ref="V21:W22"/>
    <mergeCell ref="X21:Y22"/>
    <mergeCell ref="Z21:AA22"/>
    <mergeCell ref="V23:W24"/>
    <mergeCell ref="X23:Y24"/>
    <mergeCell ref="Z23:AA24"/>
    <mergeCell ref="P25:Q26"/>
    <mergeCell ref="R25:S26"/>
    <mergeCell ref="T25:U26"/>
    <mergeCell ref="P21:Q22"/>
    <mergeCell ref="R21:S22"/>
    <mergeCell ref="T21:U22"/>
    <mergeCell ref="P23:Q24"/>
    <mergeCell ref="R23:S24"/>
    <mergeCell ref="T23:U24"/>
    <mergeCell ref="X31:Y32"/>
    <mergeCell ref="Z31:AA32"/>
    <mergeCell ref="V27:W28"/>
    <mergeCell ref="X27:Y28"/>
    <mergeCell ref="Z27:AA28"/>
    <mergeCell ref="V29:W30"/>
    <mergeCell ref="X29:Y30"/>
    <mergeCell ref="Z29:AA30"/>
    <mergeCell ref="V25:W26"/>
    <mergeCell ref="X25:Y26"/>
    <mergeCell ref="Z25:AA26"/>
    <mergeCell ref="L27:M28"/>
    <mergeCell ref="N27:O28"/>
    <mergeCell ref="J29:K30"/>
    <mergeCell ref="L29:M30"/>
    <mergeCell ref="N29:O30"/>
    <mergeCell ref="V37:W38"/>
    <mergeCell ref="X37:Y38"/>
    <mergeCell ref="Z37:AA38"/>
    <mergeCell ref="V33:W34"/>
    <mergeCell ref="X33:Y34"/>
    <mergeCell ref="Z33:AA34"/>
    <mergeCell ref="V35:W36"/>
    <mergeCell ref="X35:Y36"/>
    <mergeCell ref="Z35:AA36"/>
    <mergeCell ref="P31:Q32"/>
    <mergeCell ref="R31:S32"/>
    <mergeCell ref="T31:U32"/>
    <mergeCell ref="P27:Q28"/>
    <mergeCell ref="R27:S28"/>
    <mergeCell ref="T27:U28"/>
    <mergeCell ref="P29:Q30"/>
    <mergeCell ref="R29:S30"/>
    <mergeCell ref="T29:U30"/>
    <mergeCell ref="V31:W32"/>
    <mergeCell ref="L9:M10"/>
    <mergeCell ref="B5:I7"/>
    <mergeCell ref="P37:Q38"/>
    <mergeCell ref="R37:S38"/>
    <mergeCell ref="T37:U38"/>
    <mergeCell ref="P33:Q34"/>
    <mergeCell ref="R33:S34"/>
    <mergeCell ref="T33:U34"/>
    <mergeCell ref="P35:Q36"/>
    <mergeCell ref="R35:S36"/>
    <mergeCell ref="T35:U36"/>
    <mergeCell ref="J37:K38"/>
    <mergeCell ref="L37:M38"/>
    <mergeCell ref="N37:O38"/>
    <mergeCell ref="J33:K34"/>
    <mergeCell ref="L33:M34"/>
    <mergeCell ref="N33:O34"/>
    <mergeCell ref="J35:K36"/>
    <mergeCell ref="L35:M36"/>
    <mergeCell ref="N35:O36"/>
    <mergeCell ref="J31:K32"/>
    <mergeCell ref="L31:M32"/>
    <mergeCell ref="N31:O32"/>
    <mergeCell ref="J27:K28"/>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3FD2E-2ED8-4186-A546-A408930E85B5}">
  <sheetPr>
    <tabColor rgb="FF002060"/>
  </sheetPr>
  <dimension ref="A1:X39"/>
  <sheetViews>
    <sheetView zoomScale="85" zoomScaleNormal="85" zoomScaleSheetLayoutView="91" workbookViewId="0">
      <selection activeCell="B1" sqref="B1:R1"/>
    </sheetView>
  </sheetViews>
  <sheetFormatPr baseColWidth="10" defaultRowHeight="14.5" x14ac:dyDescent="0.35"/>
  <cols>
    <col min="1" max="1" width="13.1796875" style="87" customWidth="1"/>
    <col min="2" max="2" width="26.54296875" style="85" customWidth="1"/>
    <col min="3" max="3" width="9.453125" style="85" customWidth="1"/>
    <col min="4" max="4" width="8.7265625" customWidth="1"/>
    <col min="5" max="5" width="25.453125" customWidth="1"/>
    <col min="6" max="6" width="12.453125" customWidth="1"/>
    <col min="7" max="7" width="12.1796875" customWidth="1"/>
    <col min="8" max="8" width="8.453125" customWidth="1"/>
    <col min="9" max="9" width="6.54296875" customWidth="1"/>
    <col min="10" max="10" width="10.81640625" customWidth="1"/>
    <col min="11" max="12" width="6.54296875" customWidth="1"/>
    <col min="13" max="13" width="6.26953125" customWidth="1"/>
    <col min="14" max="14" width="6.54296875" style="86" customWidth="1"/>
    <col min="15" max="15" width="8.26953125" hidden="1" customWidth="1"/>
    <col min="16" max="16" width="6.54296875" customWidth="1"/>
    <col min="17" max="17" width="6.54296875" hidden="1" customWidth="1"/>
    <col min="18" max="18" width="7" customWidth="1"/>
    <col min="19" max="19" width="6.54296875" customWidth="1"/>
    <col min="20" max="20" width="7.7265625" customWidth="1"/>
    <col min="24" max="24" width="15.7265625" customWidth="1"/>
  </cols>
  <sheetData>
    <row r="1" spans="1:24" s="1" customFormat="1" ht="42" customHeight="1" x14ac:dyDescent="0.3">
      <c r="A1" s="342"/>
      <c r="B1" s="345" t="s">
        <v>191</v>
      </c>
      <c r="C1" s="345"/>
      <c r="D1" s="345"/>
      <c r="E1" s="345"/>
      <c r="F1" s="345"/>
      <c r="G1" s="345"/>
      <c r="H1" s="345"/>
      <c r="I1" s="345"/>
      <c r="J1" s="345"/>
      <c r="K1" s="345"/>
      <c r="L1" s="345"/>
      <c r="M1" s="345"/>
      <c r="N1" s="345"/>
      <c r="O1" s="345"/>
      <c r="P1" s="345"/>
      <c r="Q1" s="345"/>
      <c r="R1" s="346"/>
      <c r="S1" s="349" t="s">
        <v>230</v>
      </c>
      <c r="T1" s="350"/>
    </row>
    <row r="2" spans="1:24" s="1" customFormat="1" ht="39.75" customHeight="1" x14ac:dyDescent="0.3">
      <c r="A2" s="342"/>
      <c r="B2" s="347" t="s">
        <v>192</v>
      </c>
      <c r="C2" s="347"/>
      <c r="D2" s="347"/>
      <c r="E2" s="347"/>
      <c r="F2" s="347"/>
      <c r="G2" s="347"/>
      <c r="H2" s="347"/>
      <c r="I2" s="347"/>
      <c r="J2" s="347"/>
      <c r="K2" s="347"/>
      <c r="L2" s="347"/>
      <c r="M2" s="347"/>
      <c r="N2" s="347"/>
      <c r="O2" s="347"/>
      <c r="P2" s="347"/>
      <c r="Q2" s="347"/>
      <c r="R2" s="347"/>
      <c r="S2" s="351"/>
      <c r="T2" s="352"/>
    </row>
    <row r="3" spans="1:24" s="1" customFormat="1" ht="1.5" customHeight="1" x14ac:dyDescent="0.35">
      <c r="A3" s="90"/>
      <c r="B3" s="90"/>
      <c r="C3" s="90"/>
      <c r="D3" s="80"/>
      <c r="E3" s="80"/>
      <c r="F3" s="80"/>
      <c r="G3" s="80"/>
      <c r="H3" s="80"/>
      <c r="I3" s="80"/>
      <c r="J3" s="80"/>
      <c r="K3" s="80"/>
      <c r="L3" s="80"/>
      <c r="M3" s="80"/>
      <c r="N3" s="80"/>
      <c r="O3" s="80"/>
      <c r="P3" s="80"/>
      <c r="Q3" s="80"/>
      <c r="R3" s="80"/>
      <c r="S3" s="89"/>
      <c r="T3" s="89"/>
    </row>
    <row r="4" spans="1:24" s="1" customFormat="1" ht="1.5" customHeight="1" x14ac:dyDescent="0.35">
      <c r="A4" s="90"/>
      <c r="B4" s="90"/>
      <c r="C4" s="90"/>
      <c r="D4" s="80"/>
      <c r="E4" s="80"/>
      <c r="F4" s="80"/>
      <c r="G4" s="80"/>
      <c r="H4" s="80"/>
      <c r="I4" s="80"/>
      <c r="J4" s="80"/>
      <c r="K4" s="80"/>
      <c r="L4" s="80"/>
      <c r="M4" s="80"/>
      <c r="N4" s="80"/>
      <c r="O4" s="80"/>
      <c r="P4" s="80"/>
      <c r="Q4" s="80"/>
      <c r="R4" s="80"/>
      <c r="S4" s="89"/>
      <c r="T4" s="89"/>
    </row>
    <row r="5" spans="1:24" s="1" customFormat="1" ht="1.5" customHeight="1" x14ac:dyDescent="0.35">
      <c r="A5" s="90"/>
      <c r="B5" s="90"/>
      <c r="C5" s="90"/>
      <c r="D5" s="80"/>
      <c r="E5" s="80"/>
      <c r="F5" s="80"/>
      <c r="G5" s="80"/>
      <c r="H5" s="80"/>
      <c r="I5" s="80"/>
      <c r="J5" s="80"/>
      <c r="K5" s="80"/>
      <c r="L5" s="80"/>
      <c r="M5" s="80"/>
      <c r="N5" s="80"/>
      <c r="O5" s="80"/>
      <c r="P5" s="80"/>
      <c r="Q5" s="80"/>
      <c r="R5" s="80"/>
      <c r="S5" s="89"/>
      <c r="T5" s="89"/>
    </row>
    <row r="6" spans="1:24" ht="1.5" customHeight="1" thickBot="1" x14ac:dyDescent="0.4">
      <c r="A6" s="85"/>
      <c r="D6" s="85"/>
      <c r="E6" s="85"/>
      <c r="F6" s="85"/>
      <c r="G6" s="85"/>
      <c r="H6" s="85"/>
      <c r="I6" s="85"/>
      <c r="J6" s="85"/>
      <c r="K6" s="85"/>
      <c r="L6" s="85"/>
      <c r="M6" s="85"/>
      <c r="N6" s="85"/>
      <c r="O6" s="85"/>
      <c r="P6" s="85"/>
      <c r="Q6" s="85"/>
      <c r="R6" s="85"/>
      <c r="S6" s="85"/>
      <c r="T6" s="85"/>
    </row>
    <row r="7" spans="1:24" ht="16.5" customHeight="1" thickBot="1" x14ac:dyDescent="0.4">
      <c r="A7" s="340" t="s">
        <v>223</v>
      </c>
      <c r="B7" s="340" t="s">
        <v>225</v>
      </c>
      <c r="C7" s="340" t="s">
        <v>226</v>
      </c>
      <c r="D7" s="344" t="s">
        <v>206</v>
      </c>
      <c r="E7" s="344"/>
      <c r="F7" s="344"/>
      <c r="G7" s="344"/>
      <c r="H7" s="344"/>
      <c r="I7" s="344"/>
      <c r="J7" s="344"/>
      <c r="K7" s="344"/>
      <c r="L7" s="344"/>
      <c r="M7" s="344"/>
      <c r="N7" s="344"/>
      <c r="O7" s="344" t="s">
        <v>207</v>
      </c>
      <c r="P7" s="344"/>
      <c r="Q7" s="344"/>
      <c r="R7" s="344"/>
      <c r="S7" s="344"/>
      <c r="T7" s="344"/>
    </row>
    <row r="8" spans="1:24" ht="14.5" customHeight="1" thickBot="1" x14ac:dyDescent="0.4">
      <c r="A8" s="340"/>
      <c r="B8" s="340"/>
      <c r="C8" s="340"/>
      <c r="D8" s="340" t="s">
        <v>224</v>
      </c>
      <c r="E8" s="340" t="s">
        <v>147</v>
      </c>
      <c r="F8" s="340" t="s">
        <v>221</v>
      </c>
      <c r="G8" s="340" t="s">
        <v>222</v>
      </c>
      <c r="H8" s="340" t="s">
        <v>8</v>
      </c>
      <c r="I8" s="340"/>
      <c r="J8" s="340"/>
      <c r="K8" s="340"/>
      <c r="L8" s="340"/>
      <c r="M8" s="340"/>
      <c r="N8" s="343" t="s">
        <v>204</v>
      </c>
      <c r="O8" s="341" t="s">
        <v>126</v>
      </c>
      <c r="P8" s="343" t="s">
        <v>208</v>
      </c>
      <c r="Q8" s="348" t="s">
        <v>205</v>
      </c>
      <c r="R8" s="343" t="s">
        <v>209</v>
      </c>
      <c r="S8" s="343" t="s">
        <v>40</v>
      </c>
      <c r="T8" s="343" t="s">
        <v>27</v>
      </c>
    </row>
    <row r="9" spans="1:24" ht="97.5" customHeight="1" thickBot="1" x14ac:dyDescent="0.4">
      <c r="A9" s="340"/>
      <c r="B9" s="340"/>
      <c r="C9" s="340"/>
      <c r="D9" s="340"/>
      <c r="E9" s="340"/>
      <c r="F9" s="340"/>
      <c r="G9" s="340"/>
      <c r="H9" s="127" t="s">
        <v>12</v>
      </c>
      <c r="I9" s="127" t="s">
        <v>16</v>
      </c>
      <c r="J9" s="127" t="s">
        <v>17</v>
      </c>
      <c r="K9" s="127" t="s">
        <v>20</v>
      </c>
      <c r="L9" s="127" t="s">
        <v>23</v>
      </c>
      <c r="M9" s="128" t="s">
        <v>210</v>
      </c>
      <c r="N9" s="343"/>
      <c r="O9" s="341"/>
      <c r="P9" s="343"/>
      <c r="Q9" s="348"/>
      <c r="R9" s="343"/>
      <c r="S9" s="343"/>
      <c r="T9" s="343"/>
    </row>
    <row r="10" spans="1:24" ht="139.5" customHeight="1" x14ac:dyDescent="0.35">
      <c r="A10" s="102">
        <v>1</v>
      </c>
      <c r="B10" s="130" t="str">
        <f>IF(A10="","",VLOOKUP(A10,'Mapa inherente'!$A$10:$E$15,5,FALSE))</f>
        <v>Posibilidad  de afectación reputacional porque los programas de Bienestar no favorecen la adaptación  de estudiantes provenientes de poblaciones vulnerables heterogeneas debido a  que no se cuenta con la identificación de necesidades y requerimientos  de dicha población</v>
      </c>
      <c r="C10" s="103" t="str">
        <f>IF(A10="","",VLOOKUP(A10,'Mapa inherente'!$A$10:$N$15,14,FALSE))</f>
        <v>Moderado</v>
      </c>
      <c r="D10" s="104">
        <f>IF(B10="","",1)</f>
        <v>1</v>
      </c>
      <c r="E10" s="126" t="s">
        <v>237</v>
      </c>
      <c r="F10" s="126" t="s">
        <v>215</v>
      </c>
      <c r="G10" s="126" t="s">
        <v>238</v>
      </c>
      <c r="H10" s="126" t="s">
        <v>13</v>
      </c>
      <c r="I10" s="126" t="s">
        <v>9</v>
      </c>
      <c r="J10" s="126" t="s">
        <v>18</v>
      </c>
      <c r="K10" s="126" t="s">
        <v>22</v>
      </c>
      <c r="L10" s="126" t="s">
        <v>109</v>
      </c>
      <c r="M10" s="91" t="str">
        <f t="shared" ref="M10:M39" si="0">IF(AND(H10="Preventivo",I10="Automático"),"50%",IF(AND(H10="Preventivo",I10="Manual"),"40%",IF(AND(H10="Detectivo",I10="Automático"),"40%",IF(AND(H10="Detectivo",I10="Manual"),"30%",IF(AND(H10="Correctivo",I10="Automático"),"35%",IF(AND(H10="Correctivo",I10="Manual"),"25%",""))))))</f>
        <v>40%</v>
      </c>
      <c r="N10" s="92" t="str">
        <f t="shared" ref="N10:N39" si="1">IF(OR(H10="Preventivo",H10="Detectivo"),"Probabilidad",IF(H10="Correctivo","Impacto",""))</f>
        <v>Probabilidad</v>
      </c>
      <c r="O10" s="93">
        <f>IF(A10="","",IF(D10=1,IFERROR(IF(N10="Probabilidad",(VLOOKUP(A10,'Mapa inherente'!$A$10:$M$15,9,FALSE)-(VLOOKUP(A10,'Mapa inherente'!$A$10:$M$15,9,FALSE)*M10)),IF(N10="Impacto",VLOOKUP(A10,'Mapa inherente'!$A$10:$M$15,9,FALSE),"")),""),
IFERROR(IF(N10="Probabilidad",(O9-(O9)*M10),O9),"")))</f>
        <v>0.12</v>
      </c>
      <c r="P10" s="94" t="str">
        <f>IFERROR(IF(O10="","",IF(O10&lt;=0.2,"Muy Baja",IF(O10&lt;=0.4,"Baja",IF(O10&lt;=0.6,"Media",IF(O10&lt;=0.8,"Alta","Muy Alta"))))),"")</f>
        <v>Muy Baja</v>
      </c>
      <c r="Q10" s="93">
        <f>IF(A10="","",IF(D10=1,IFERROR(IF(N10="Impacto",(VLOOKUP(A10,'Mapa inherente'!$A$10:$M$15,13,FALSE)-(VLOOKUP(A10,'Mapa inherente'!$A$10:$M$15,13,FALSE)*M10)),IF(N10="Probabilidad",VLOOKUP(A10,'Mapa inherente'!$A$10:$M$15,13,FALSE),"")),""),
                   IFERROR(IF(N10="Impacto",(Q9-(Q9)*M10),Q9),"")))</f>
        <v>0.6</v>
      </c>
      <c r="R10" s="94" t="str">
        <f>IFERROR(IF(Q10="","",IF(Q10&lt;=0.2,"Leve",IF(Q10&lt;=0.4,"Menor",IF(Q10&lt;=0.6,"Moderado",IF(Q10&lt;=0.8,"Mayor","Catastrófico"))))),"")</f>
        <v>Moderado</v>
      </c>
      <c r="S10" s="94" t="str">
        <f>IFERROR(IF(OR(AND(P10="Muy Baja",R10="Leve"),AND(P10="Muy Baja",R10="Menor"),AND(P10="Baja",R10="Leve")),"Bajo",IF(OR(AND(P10="Muy baja",R10="Moderado"),AND(P10="Baja",R10="Menor"),AND(P10="Baja",R10="Moderado"),AND(P10="Media",R10="Leve"),AND(P10="Media",R10="Menor"),AND(P10="Media",R10="Moderado"),AND(P10="Alta",R10="Leve"),AND(P10="Alta",R10="Menor")),"Moderado",IF(OR(AND(P10="Muy Baja",R10="Mayor"),AND(P10="Baja",R10="Mayor"),AND(P10="Media",R10="Mayor"),AND(P10="Alta",R10="Moderado"),AND(P10="Alta",R10="Mayor"),AND(P10="Muy Alta",R10="Leve"),AND(P10="Muy Alta",R10="Menor"),AND(P10="Muy Alta",R10="Moderado"),AND(P10="Muy Alta",R10="Mayor")),"Alto",IF(OR(AND(P10="Muy Baja",R10="Catastrófico"),AND(P10="Baja",R10="Catastrófico"),AND(P10="Media",R10="Catastrófico"),AND(P10="Alta",R10="Catastrófico"),AND(P10="Muy Alta",R10="Catastrófico")),"Extremo","")))),"")</f>
        <v>Moderado</v>
      </c>
      <c r="T10" s="105" t="s">
        <v>124</v>
      </c>
      <c r="X10" s="85"/>
    </row>
    <row r="11" spans="1:24" ht="144.75" customHeight="1" x14ac:dyDescent="0.35">
      <c r="A11" s="106">
        <v>1</v>
      </c>
      <c r="B11" s="131" t="str">
        <f>IF(A11="","",VLOOKUP(A11,'Mapa inherente'!$A$10:$E$15,5,FALSE))</f>
        <v>Posibilidad  de afectación reputacional porque los programas de Bienestar no favorecen la adaptación  de estudiantes provenientes de poblaciones vulnerables heterogeneas debido a  que no se cuenta con la identificación de necesidades y requerimientos  de dicha población</v>
      </c>
      <c r="C11" s="108" t="str">
        <f>IF(A11="","",VLOOKUP(A11,'Mapa inherente'!$A$10:$N$15,14,FALSE))</f>
        <v>Moderado</v>
      </c>
      <c r="D11" s="109">
        <f>IF(B11="","",IF(B11=B10,D10+1,1))</f>
        <v>2</v>
      </c>
      <c r="E11" s="110" t="s">
        <v>239</v>
      </c>
      <c r="F11" s="110" t="s">
        <v>214</v>
      </c>
      <c r="G11" s="110" t="s">
        <v>240</v>
      </c>
      <c r="H11" s="111" t="s">
        <v>15</v>
      </c>
      <c r="I11" s="111" t="s">
        <v>9</v>
      </c>
      <c r="J11" s="111" t="s">
        <v>18</v>
      </c>
      <c r="K11" s="111" t="s">
        <v>21</v>
      </c>
      <c r="L11" s="111" t="s">
        <v>109</v>
      </c>
      <c r="M11" s="95" t="str">
        <f t="shared" si="0"/>
        <v>25%</v>
      </c>
      <c r="N11" s="96" t="str">
        <f t="shared" si="1"/>
        <v>Impacto</v>
      </c>
      <c r="O11" s="97">
        <f>IF(A11="","",IF(D11=1,IFERROR(IF(N11="Probabilidad",(VLOOKUP(A11,'Mapa inherente'!$A$10:$M$15,9,FALSE)-(VLOOKUP(A11,'Mapa inherente'!$A$10:$M$15,9,FALSE)*M11)),IF(N11="Impacto",VLOOKUP(A11,'Mapa inherente'!$A$10:$M$15,9,FALSE),"")),""),
IFERROR(IF(N11="Probabilidad",(O10-(O10)*M11),O10),"")))</f>
        <v>0.12</v>
      </c>
      <c r="P11" s="98" t="str">
        <f t="shared" ref="P11:P39" si="2">IFERROR(IF(O11="","",IF(O11&lt;=0.2,"Muy Baja",IF(O11&lt;=0.4,"Baja",IF(O11&lt;=0.6,"Media",IF(O11&lt;=0.8,"Alta","Muy Alta"))))),"")</f>
        <v>Muy Baja</v>
      </c>
      <c r="Q11" s="97">
        <f>IF(A11="","",IF(D11=1,IFERROR(IF(N11="Impacto",(VLOOKUP(A11,'Mapa inherente'!$A$10:$M$15,13,FALSE)-(VLOOKUP(A11,'Mapa inherente'!$A$10:$M$15,13,FALSE)*M11)),IF(N11="Probabilidad",VLOOKUP(A11,'Mapa inherente'!$A$10:$M$15,13,FALSE),"")),""),
                   IFERROR(IF(N11="Impacto",(Q10-(Q10)*M11),Q10),"")))</f>
        <v>0.44999999999999996</v>
      </c>
      <c r="R11" s="98" t="str">
        <f t="shared" ref="R11:R39" si="3">IFERROR(IF(Q11="","",IF(Q11&lt;=0.2,"Leve",IF(Q11&lt;=0.4,"Menor",IF(Q11&lt;=0.6,"Moderado",IF(Q11&lt;=0.8,"Mayor","Catastrófico"))))),"")</f>
        <v>Moderado</v>
      </c>
      <c r="S11" s="98" t="str">
        <f t="shared" ref="S11:S39" si="4">IFERROR(IF(OR(AND(P11="Muy Baja",R11="Leve"),AND(P11="Muy Baja",R11="Menor"),AND(P11="Baja",R11="Leve")),"Bajo",IF(OR(AND(P11="Muy baja",R11="Moderado"),AND(P11="Baja",R11="Menor"),AND(P11="Baja",R11="Moderado"),AND(P11="Media",R11="Leve"),AND(P11="Media",R11="Menor"),AND(P11="Media",R11="Moderado"),AND(P11="Alta",R11="Leve"),AND(P11="Alta",R11="Menor")),"Moderado",IF(OR(AND(P11="Muy Baja",R11="Mayor"),AND(P11="Baja",R11="Mayor"),AND(P11="Media",R11="Mayor"),AND(P11="Alta",R11="Moderado"),AND(P11="Alta",R11="Mayor"),AND(P11="Muy Alta",R11="Leve"),AND(P11="Muy Alta",R11="Menor"),AND(P11="Muy Alta",R11="Moderado"),AND(P11="Muy Alta",R11="Mayor")),"Alto",IF(OR(AND(P11="Muy Baja",R11="Catastrófico"),AND(P11="Baja",R11="Catastrófico"),AND(P11="Media",R11="Catastrófico"),AND(P11="Alta",R11="Catastrófico"),AND(P11="Muy Alta",R11="Catastrófico")),"Extremo","")))),"")</f>
        <v>Moderado</v>
      </c>
      <c r="T11" s="112" t="s">
        <v>124</v>
      </c>
    </row>
    <row r="12" spans="1:24" ht="144" customHeight="1" x14ac:dyDescent="0.35">
      <c r="A12" s="106">
        <v>1</v>
      </c>
      <c r="B12" s="131" t="str">
        <f>IF(A12="","",VLOOKUP(A12,'Mapa inherente'!$A$10:$E$15,5,FALSE))</f>
        <v>Posibilidad  de afectación reputacional porque los programas de Bienestar no favorecen la adaptación  de estudiantes provenientes de poblaciones vulnerables heterogeneas debido a  que no se cuenta con la identificación de necesidades y requerimientos  de dicha población</v>
      </c>
      <c r="C12" s="108" t="str">
        <f>IF(A12="","",VLOOKUP(A12,'Mapa inherente'!$A$10:$N$15,14,FALSE))</f>
        <v>Moderado</v>
      </c>
      <c r="D12" s="109">
        <f t="shared" ref="D12:D39" si="5">IF(B12="","",IF(B12=B11,D11+1,1))</f>
        <v>3</v>
      </c>
      <c r="E12" s="110" t="s">
        <v>241</v>
      </c>
      <c r="F12" s="110" t="s">
        <v>214</v>
      </c>
      <c r="G12" s="110" t="s">
        <v>242</v>
      </c>
      <c r="H12" s="111" t="s">
        <v>15</v>
      </c>
      <c r="I12" s="111" t="s">
        <v>9</v>
      </c>
      <c r="J12" s="111" t="s">
        <v>18</v>
      </c>
      <c r="K12" s="111" t="s">
        <v>21</v>
      </c>
      <c r="L12" s="111" t="s">
        <v>109</v>
      </c>
      <c r="M12" s="95" t="str">
        <f t="shared" si="0"/>
        <v>25%</v>
      </c>
      <c r="N12" s="96" t="str">
        <f t="shared" si="1"/>
        <v>Impacto</v>
      </c>
      <c r="O12" s="97">
        <f>IF(A12="","",IF(D12=1,IFERROR(IF(N12="Probabilidad",(VLOOKUP(A12,'Mapa inherente'!$A$10:$M$15,9,FALSE)-(VLOOKUP(A12,'Mapa inherente'!$A$10:$M$15,9,FALSE)*M12)),IF(N12="Impacto",VLOOKUP(A12,'Mapa inherente'!$A$10:$M$15,9,FALSE),"")),""),
IFERROR(IF(N12="Probabilidad",(O11-(O11)*M12),O11),"")))</f>
        <v>0.12</v>
      </c>
      <c r="P12" s="98" t="str">
        <f t="shared" si="2"/>
        <v>Muy Baja</v>
      </c>
      <c r="Q12" s="97">
        <f>IF(A12="","",IF(D12=1,IFERROR(IF(N12="Impacto",(VLOOKUP(A12,'Mapa inherente'!$A$10:$M$15,13,FALSE)-(VLOOKUP(A12,'Mapa inherente'!$A$10:$M$15,13,FALSE)*M12)),IF(N12="Probabilidad",VLOOKUP(A12,'Mapa inherente'!$A$10:$M$15,13,FALSE),"")),""),
                   IFERROR(IF(N12="Impacto",(Q11-(Q11)*M12),Q11),"")))</f>
        <v>0.33749999999999997</v>
      </c>
      <c r="R12" s="98" t="str">
        <f t="shared" si="3"/>
        <v>Menor</v>
      </c>
      <c r="S12" s="98" t="str">
        <f t="shared" si="4"/>
        <v>Bajo</v>
      </c>
      <c r="T12" s="112" t="s">
        <v>29</v>
      </c>
    </row>
    <row r="13" spans="1:24" ht="78" customHeight="1" x14ac:dyDescent="0.35">
      <c r="A13" s="106">
        <v>2</v>
      </c>
      <c r="B13" s="131" t="str">
        <f>IF(A13="","",VLOOKUP(A13,'Mapa inherente'!$A$10:$E$15,5,FALSE))</f>
        <v>La posibilidad de afectación reputacional por falta de oportunidad en la prestación de los servicios debido a los retrasos en la contratación de prestadores externos</v>
      </c>
      <c r="C13" s="108" t="str">
        <f>IF(A13="","",VLOOKUP(A13,'Mapa inherente'!$A$10:$N$15,14,FALSE))</f>
        <v>Bajo</v>
      </c>
      <c r="D13" s="109">
        <f t="shared" si="5"/>
        <v>1</v>
      </c>
      <c r="E13" s="110" t="s">
        <v>246</v>
      </c>
      <c r="F13" s="110" t="s">
        <v>214</v>
      </c>
      <c r="G13" s="110" t="s">
        <v>242</v>
      </c>
      <c r="H13" s="111" t="s">
        <v>15</v>
      </c>
      <c r="I13" s="111" t="s">
        <v>9</v>
      </c>
      <c r="J13" s="111" t="s">
        <v>18</v>
      </c>
      <c r="K13" s="111" t="s">
        <v>21</v>
      </c>
      <c r="L13" s="111" t="s">
        <v>109</v>
      </c>
      <c r="M13" s="95" t="str">
        <f t="shared" si="0"/>
        <v>25%</v>
      </c>
      <c r="N13" s="96" t="str">
        <f t="shared" si="1"/>
        <v>Impacto</v>
      </c>
      <c r="O13" s="97">
        <f>IF(A13="","",IF(D13=1,IFERROR(IF(N13="Probabilidad",(VLOOKUP(A13,'Mapa inherente'!$A$10:$M$15,9,FALSE)-(VLOOKUP(A13,'Mapa inherente'!$A$10:$M$15,9,FALSE)*M13)),IF(N13="Impacto",VLOOKUP(A13,'Mapa inherente'!$A$10:$M$15,9,FALSE),"")),""),
IFERROR(IF(N13="Probabilidad",(O12-(O12)*M13),O12),"")))</f>
        <v>0.2</v>
      </c>
      <c r="P13" s="98" t="str">
        <f t="shared" si="2"/>
        <v>Muy Baja</v>
      </c>
      <c r="Q13" s="97">
        <f>IF(A13="","",IF(D13=1,IFERROR(IF(N13="Impacto",(VLOOKUP(A13,'Mapa inherente'!$A$10:$M$15,13,FALSE)-(VLOOKUP(A13,'Mapa inherente'!$A$10:$M$15,13,FALSE)*M13)),IF(N13="Probabilidad",VLOOKUP(A13,'Mapa inherente'!$A$10:$M$15,13,FALSE),"")),""),
                   IFERROR(IF(N13="Impacto",(Q12-(Q12)*M13),Q12),"")))</f>
        <v>0.30000000000000004</v>
      </c>
      <c r="R13" s="98" t="str">
        <f t="shared" si="3"/>
        <v>Menor</v>
      </c>
      <c r="S13" s="98" t="str">
        <f t="shared" si="4"/>
        <v>Bajo</v>
      </c>
      <c r="T13" s="112" t="s">
        <v>124</v>
      </c>
    </row>
    <row r="14" spans="1:24" ht="84.75" customHeight="1" x14ac:dyDescent="0.35">
      <c r="A14" s="106">
        <v>2</v>
      </c>
      <c r="B14" s="131" t="str">
        <f>IF(A14="","",VLOOKUP(A14,'Mapa inherente'!$A$10:$E$15,5,FALSE))</f>
        <v>La posibilidad de afectación reputacional por falta de oportunidad en la prestación de los servicios debido a los retrasos en la contratación de prestadores externos</v>
      </c>
      <c r="C14" s="108" t="str">
        <f>IF(A14="","",VLOOKUP(A14,'Mapa inherente'!$A$10:$N$15,14,FALSE))</f>
        <v>Bajo</v>
      </c>
      <c r="D14" s="109">
        <f t="shared" si="5"/>
        <v>2</v>
      </c>
      <c r="E14" s="110" t="s">
        <v>247</v>
      </c>
      <c r="F14" s="110" t="s">
        <v>214</v>
      </c>
      <c r="G14" s="110" t="s">
        <v>248</v>
      </c>
      <c r="H14" s="111" t="s">
        <v>13</v>
      </c>
      <c r="I14" s="111" t="s">
        <v>9</v>
      </c>
      <c r="J14" s="111" t="s">
        <v>18</v>
      </c>
      <c r="K14" s="111" t="s">
        <v>21</v>
      </c>
      <c r="L14" s="111" t="s">
        <v>109</v>
      </c>
      <c r="M14" s="95" t="str">
        <f t="shared" si="0"/>
        <v>40%</v>
      </c>
      <c r="N14" s="96" t="str">
        <f t="shared" si="1"/>
        <v>Probabilidad</v>
      </c>
      <c r="O14" s="97">
        <f>IF(A14="","",IF(D14=1,IFERROR(IF(N14="Probabilidad",(VLOOKUP(A14,'Mapa inherente'!$A$10:$M$15,9,FALSE)-(VLOOKUP(A14,'Mapa inherente'!$A$10:$M$15,9,FALSE)*M14)),IF(N14="Impacto",VLOOKUP(A14,'Mapa inherente'!$A$10:$M$15,9,FALSE),"")),""),
IFERROR(IF(N14="Probabilidad",(O13-(O13)*M14),O13),"")))</f>
        <v>0.12</v>
      </c>
      <c r="P14" s="98" t="str">
        <f t="shared" si="2"/>
        <v>Muy Baja</v>
      </c>
      <c r="Q14" s="97">
        <f>IF(A14="","",IF(D14=1,IFERROR(IF(N14="Impacto",(VLOOKUP(A14,'Mapa inherente'!$A$10:$M$15,13,FALSE)-(VLOOKUP(A14,'Mapa inherente'!$A$10:$M$15,13,FALSE)*M14)),IF(N14="Probabilidad",VLOOKUP(A14,'Mapa inherente'!$A$10:$M$15,13,FALSE),"")),""),
                   IFERROR(IF(N14="Impacto",(Q13-(Q13)*M14),Q13),"")))</f>
        <v>0.30000000000000004</v>
      </c>
      <c r="R14" s="98" t="str">
        <f t="shared" si="3"/>
        <v>Menor</v>
      </c>
      <c r="S14" s="98" t="str">
        <f t="shared" si="4"/>
        <v>Bajo</v>
      </c>
      <c r="T14" s="112" t="s">
        <v>29</v>
      </c>
    </row>
    <row r="15" spans="1:24" ht="152.25" customHeight="1" x14ac:dyDescent="0.35">
      <c r="A15" s="106">
        <v>3</v>
      </c>
      <c r="B15" s="131" t="str">
        <f>IF(A15="","",VLOOKUP(A15,'Mapa inherente'!$A$10:$E$15,5,FALSE))</f>
        <v>Posibilidad de afectación economico y reputacional por presupuesto insuficiente para  la ejecución total del Plan Operativo Anual</v>
      </c>
      <c r="C15" s="108" t="str">
        <f>IF(A15="","",VLOOKUP(A15,'Mapa inherente'!$A$10:$N$15,14,FALSE))</f>
        <v>Moderado</v>
      </c>
      <c r="D15" s="109">
        <f t="shared" si="5"/>
        <v>1</v>
      </c>
      <c r="E15" s="110" t="s">
        <v>252</v>
      </c>
      <c r="F15" s="110" t="s">
        <v>214</v>
      </c>
      <c r="G15" s="110" t="s">
        <v>242</v>
      </c>
      <c r="H15" s="111" t="s">
        <v>13</v>
      </c>
      <c r="I15" s="111" t="s">
        <v>9</v>
      </c>
      <c r="J15" s="111" t="s">
        <v>18</v>
      </c>
      <c r="K15" s="111" t="s">
        <v>21</v>
      </c>
      <c r="L15" s="111" t="s">
        <v>109</v>
      </c>
      <c r="M15" s="95" t="str">
        <f t="shared" si="0"/>
        <v>40%</v>
      </c>
      <c r="N15" s="96" t="str">
        <f t="shared" si="1"/>
        <v>Probabilidad</v>
      </c>
      <c r="O15" s="97">
        <f>IF(A15="","",IF(D15=1,IFERROR(IF(N15="Probabilidad",(VLOOKUP(A15,'Mapa inherente'!$A$10:$M$15,9,FALSE)-(VLOOKUP(A15,'Mapa inherente'!$A$10:$M$15,9,FALSE)*M15)),IF(N15="Impacto",VLOOKUP(A15,'Mapa inherente'!$A$10:$M$15,9,FALSE),"")),""),
IFERROR(IF(N15="Probabilidad",(O14-(O14)*M15),O14),"")))</f>
        <v>0.12</v>
      </c>
      <c r="P15" s="98" t="str">
        <f t="shared" si="2"/>
        <v>Muy Baja</v>
      </c>
      <c r="Q15" s="97">
        <f>IF(A15="","",IF(D15=1,IFERROR(IF(N15="Impacto",(VLOOKUP(A15,'Mapa inherente'!$A$10:$M$15,13,FALSE)-(VLOOKUP(A15,'Mapa inherente'!$A$10:$M$15,13,FALSE)*M15)),IF(N15="Probabilidad",VLOOKUP(A15,'Mapa inherente'!$A$10:$M$15,13,FALSE),"")),""),
                   IFERROR(IF(N15="Impacto",(Q14-(Q14)*M15),Q14),"")))</f>
        <v>0.6</v>
      </c>
      <c r="R15" s="98" t="str">
        <f t="shared" si="3"/>
        <v>Moderado</v>
      </c>
      <c r="S15" s="98" t="str">
        <f t="shared" si="4"/>
        <v>Moderado</v>
      </c>
      <c r="T15" s="112" t="s">
        <v>124</v>
      </c>
    </row>
    <row r="16" spans="1:24" ht="84" customHeight="1" x14ac:dyDescent="0.35">
      <c r="A16" s="106">
        <v>3</v>
      </c>
      <c r="B16" s="131" t="str">
        <f>IF(A16="","",VLOOKUP(A16,'Mapa inherente'!$A$10:$E$15,5,FALSE))</f>
        <v>Posibilidad de afectación economico y reputacional por presupuesto insuficiente para  la ejecución total del Plan Operativo Anual</v>
      </c>
      <c r="C16" s="108" t="str">
        <f>IF(A16="","",VLOOKUP(A16,'Mapa inherente'!$A$10:$N$15,14,FALSE))</f>
        <v>Moderado</v>
      </c>
      <c r="D16" s="109">
        <f t="shared" si="5"/>
        <v>2</v>
      </c>
      <c r="E16" s="110" t="s">
        <v>253</v>
      </c>
      <c r="F16" s="110" t="s">
        <v>214</v>
      </c>
      <c r="G16" s="110" t="s">
        <v>242</v>
      </c>
      <c r="H16" s="111" t="s">
        <v>13</v>
      </c>
      <c r="I16" s="111" t="s">
        <v>9</v>
      </c>
      <c r="J16" s="111" t="s">
        <v>18</v>
      </c>
      <c r="K16" s="111" t="s">
        <v>21</v>
      </c>
      <c r="L16" s="111" t="s">
        <v>109</v>
      </c>
      <c r="M16" s="95" t="str">
        <f t="shared" si="0"/>
        <v>40%</v>
      </c>
      <c r="N16" s="96" t="str">
        <f t="shared" si="1"/>
        <v>Probabilidad</v>
      </c>
      <c r="O16" s="97">
        <f>IF(A16="","",IF(D16=1,IFERROR(IF(N16="Probabilidad",(VLOOKUP(A16,'Mapa inherente'!$A$10:$M$15,9,FALSE)-(VLOOKUP(A16,'Mapa inherente'!$A$10:$M$15,9,FALSE)*M16)),IF(N16="Impacto",VLOOKUP(A16,'Mapa inherente'!$A$10:$M$15,9,FALSE),"")),""),
IFERROR(IF(N16="Probabilidad",(O15-(O15)*M16),O15),"")))</f>
        <v>7.1999999999999995E-2</v>
      </c>
      <c r="P16" s="98" t="str">
        <f t="shared" si="2"/>
        <v>Muy Baja</v>
      </c>
      <c r="Q16" s="97">
        <f>IF(A16="","",IF(D16=1,IFERROR(IF(N16="Impacto",(VLOOKUP(A16,'Mapa inherente'!$A$10:$M$15,13,FALSE)-(VLOOKUP(A16,'Mapa inherente'!$A$10:$M$15,13,FALSE)*M16)),IF(N16="Probabilidad",VLOOKUP(A16,'Mapa inherente'!$A$10:$M$15,13,FALSE),"")),""),
                   IFERROR(IF(N16="Impacto",(Q15-(Q15)*M16),Q15),"")))</f>
        <v>0.6</v>
      </c>
      <c r="R16" s="98" t="str">
        <f t="shared" si="3"/>
        <v>Moderado</v>
      </c>
      <c r="S16" s="98" t="str">
        <f t="shared" si="4"/>
        <v>Moderado</v>
      </c>
      <c r="T16" s="112" t="s">
        <v>29</v>
      </c>
    </row>
    <row r="17" spans="1:20" ht="139.5" customHeight="1" x14ac:dyDescent="0.35">
      <c r="A17" s="106">
        <v>4</v>
      </c>
      <c r="B17" s="107" t="str">
        <f>IF(A17="","",VLOOKUP(A17,'Mapa inherente'!$A$10:$E$15,5,FALSE))</f>
        <v>Posibilidad de afectación reputacional por adelantar tramites que beneficien  a su solicitante (estudiantes, docentes y administrativos) sin el cumplimento de los requisitos establecidos para ello, por   tráfico de influencia, Amiguismo y/o  clientelismo</v>
      </c>
      <c r="C17" s="108" t="str">
        <f>IF(A17="","",VLOOKUP(A17,'Mapa inherente'!$A$10:$N$15,14,FALSE))</f>
        <v>Bajo</v>
      </c>
      <c r="D17" s="109">
        <f t="shared" si="5"/>
        <v>1</v>
      </c>
      <c r="E17" s="110" t="s">
        <v>263</v>
      </c>
      <c r="F17" s="110" t="s">
        <v>214</v>
      </c>
      <c r="G17" s="110" t="s">
        <v>264</v>
      </c>
      <c r="H17" s="111" t="s">
        <v>13</v>
      </c>
      <c r="I17" s="111" t="s">
        <v>9</v>
      </c>
      <c r="J17" s="111" t="s">
        <v>18</v>
      </c>
      <c r="K17" s="111" t="s">
        <v>21</v>
      </c>
      <c r="L17" s="111" t="s">
        <v>109</v>
      </c>
      <c r="M17" s="95" t="str">
        <f t="shared" si="0"/>
        <v>40%</v>
      </c>
      <c r="N17" s="96" t="str">
        <f t="shared" si="1"/>
        <v>Probabilidad</v>
      </c>
      <c r="O17" s="97">
        <f>IF(A17="","",IF(D17=1,IFERROR(IF(N17="Probabilidad",(VLOOKUP(A17,'Mapa inherente'!$A$10:$M$15,9,FALSE)-(VLOOKUP(A17,'Mapa inherente'!$A$10:$M$15,9,FALSE)*M17)),IF(N17="Impacto",VLOOKUP(A17,'Mapa inherente'!$A$10:$M$15,9,FALSE),"")),""),
IFERROR(IF(N17="Probabilidad",(O16-(O16)*M17),O16),"")))</f>
        <v>0.24</v>
      </c>
      <c r="P17" s="98" t="str">
        <f t="shared" si="2"/>
        <v>Baja</v>
      </c>
      <c r="Q17" s="97">
        <f>IF(A17="","",IF(D17=1,IFERROR(IF(N17="Impacto",(VLOOKUP(A17,'Mapa inherente'!$A$10:$M$15,13,FALSE)-(VLOOKUP(A17,'Mapa inherente'!$A$10:$M$15,13,FALSE)*M17)),IF(N17="Probabilidad",VLOOKUP(A17,'Mapa inherente'!$A$10:$M$15,13,FALSE),"")),""),
                   IFERROR(IF(N17="Impacto",(Q16-(Q16)*M17),Q16),"")))</f>
        <v>0.2</v>
      </c>
      <c r="R17" s="98" t="str">
        <f t="shared" si="3"/>
        <v>Leve</v>
      </c>
      <c r="S17" s="98" t="str">
        <f t="shared" si="4"/>
        <v>Bajo</v>
      </c>
      <c r="T17" s="112" t="s">
        <v>124</v>
      </c>
    </row>
    <row r="18" spans="1:20" ht="139.5" customHeight="1" x14ac:dyDescent="0.35">
      <c r="A18" s="106">
        <v>4</v>
      </c>
      <c r="B18" s="107" t="str">
        <f>IF(A18="","",VLOOKUP(A18,'Mapa inherente'!$A$10:$E$15,5,FALSE))</f>
        <v>Posibilidad de afectación reputacional por adelantar tramites que beneficien  a su solicitante (estudiantes, docentes y administrativos) sin el cumplimento de los requisitos establecidos para ello, por   tráfico de influencia, Amiguismo y/o  clientelismo</v>
      </c>
      <c r="C18" s="108" t="str">
        <f>IF(A18="","",VLOOKUP(A18,'Mapa inherente'!$A$10:$N$15,14,FALSE))</f>
        <v>Bajo</v>
      </c>
      <c r="D18" s="109">
        <f t="shared" si="5"/>
        <v>2</v>
      </c>
      <c r="E18" s="110" t="s">
        <v>265</v>
      </c>
      <c r="F18" s="110" t="s">
        <v>214</v>
      </c>
      <c r="G18" s="110" t="s">
        <v>266</v>
      </c>
      <c r="H18" s="111" t="s">
        <v>13</v>
      </c>
      <c r="I18" s="111" t="s">
        <v>9</v>
      </c>
      <c r="J18" s="111" t="s">
        <v>18</v>
      </c>
      <c r="K18" s="111" t="s">
        <v>21</v>
      </c>
      <c r="L18" s="111" t="s">
        <v>109</v>
      </c>
      <c r="M18" s="95" t="str">
        <f t="shared" si="0"/>
        <v>40%</v>
      </c>
      <c r="N18" s="96" t="str">
        <f t="shared" si="1"/>
        <v>Probabilidad</v>
      </c>
      <c r="O18" s="97">
        <f>IF(A18="","",IF(D18=1,IFERROR(IF(N18="Probabilidad",(VLOOKUP(A18,'Mapa inherente'!$A$10:$M$15,9,FALSE)-(VLOOKUP(A18,'Mapa inherente'!$A$10:$M$15,9,FALSE)*M18)),IF(N18="Impacto",VLOOKUP(A18,'Mapa inherente'!$A$10:$M$15,9,FALSE),"")),""),
IFERROR(IF(N18="Probabilidad",(O17-(O17)*M18),O17),"")))</f>
        <v>0.14399999999999999</v>
      </c>
      <c r="P18" s="98" t="str">
        <f t="shared" si="2"/>
        <v>Muy Baja</v>
      </c>
      <c r="Q18" s="97">
        <f>IF(A18="","",IF(D18=1,IFERROR(IF(N18="Impacto",(VLOOKUP(A18,'Mapa inherente'!$A$10:$M$15,13,FALSE)-(VLOOKUP(A18,'Mapa inherente'!$A$10:$M$15,13,FALSE)*M18)),IF(N18="Probabilidad",VLOOKUP(A18,'Mapa inherente'!$A$10:$M$15,13,FALSE),"")),""),
                   IFERROR(IF(N18="Impacto",(Q17-(Q17)*M18),Q17),"")))</f>
        <v>0.2</v>
      </c>
      <c r="R18" s="98" t="str">
        <f t="shared" si="3"/>
        <v>Leve</v>
      </c>
      <c r="S18" s="98" t="str">
        <f t="shared" si="4"/>
        <v>Bajo</v>
      </c>
      <c r="T18" s="112" t="s">
        <v>124</v>
      </c>
    </row>
    <row r="19" spans="1:20" ht="135" customHeight="1" x14ac:dyDescent="0.35">
      <c r="A19" s="106">
        <v>4</v>
      </c>
      <c r="B19" s="107" t="str">
        <f>IF(A19="","",VLOOKUP(A19,'Mapa inherente'!$A$10:$E$15,5,FALSE))</f>
        <v>Posibilidad de afectación reputacional por adelantar tramites que beneficien  a su solicitante (estudiantes, docentes y administrativos) sin el cumplimento de los requisitos establecidos para ello, por   tráfico de influencia, Amiguismo y/o  clientelismo</v>
      </c>
      <c r="C19" s="108" t="str">
        <f>IF(A19="","",VLOOKUP(A19,'Mapa inherente'!$A$10:$N$15,14,FALSE))</f>
        <v>Bajo</v>
      </c>
      <c r="D19" s="109">
        <f t="shared" si="5"/>
        <v>3</v>
      </c>
      <c r="E19" s="110" t="s">
        <v>267</v>
      </c>
      <c r="F19" s="110" t="s">
        <v>214</v>
      </c>
      <c r="G19" s="110" t="s">
        <v>268</v>
      </c>
      <c r="H19" s="111" t="s">
        <v>15</v>
      </c>
      <c r="I19" s="111" t="s">
        <v>9</v>
      </c>
      <c r="J19" s="111" t="s">
        <v>18</v>
      </c>
      <c r="K19" s="111" t="s">
        <v>21</v>
      </c>
      <c r="L19" s="111" t="s">
        <v>109</v>
      </c>
      <c r="M19" s="95" t="str">
        <f t="shared" si="0"/>
        <v>25%</v>
      </c>
      <c r="N19" s="96" t="str">
        <f t="shared" si="1"/>
        <v>Impacto</v>
      </c>
      <c r="O19" s="97">
        <f>IF(A19="","",IF(D19=1,IFERROR(IF(N19="Probabilidad",(VLOOKUP(A19,'Mapa inherente'!$A$10:$M$15,9,FALSE)-(VLOOKUP(A19,'Mapa inherente'!$A$10:$M$15,9,FALSE)*M19)),IF(N19="Impacto",VLOOKUP(A19,'Mapa inherente'!$A$10:$M$15,9,FALSE),"")),""),
IFERROR(IF(N19="Probabilidad",(O18-(O18)*M19),O18),"")))</f>
        <v>0.14399999999999999</v>
      </c>
      <c r="P19" s="98" t="str">
        <f t="shared" si="2"/>
        <v>Muy Baja</v>
      </c>
      <c r="Q19" s="97">
        <f>IF(A19="","",IF(D19=1,IFERROR(IF(N19="Impacto",(VLOOKUP(A19,'Mapa inherente'!$A$10:$M$15,13,FALSE)-(VLOOKUP(A19,'Mapa inherente'!$A$10:$M$15,13,FALSE)*M19)),IF(N19="Probabilidad",VLOOKUP(A19,'Mapa inherente'!$A$10:$M$15,13,FALSE),"")),""),
                   IFERROR(IF(N19="Impacto",(Q18-(Q18)*M19),Q18),"")))</f>
        <v>0.15000000000000002</v>
      </c>
      <c r="R19" s="98" t="str">
        <f t="shared" si="3"/>
        <v>Leve</v>
      </c>
      <c r="S19" s="98" t="str">
        <f t="shared" si="4"/>
        <v>Bajo</v>
      </c>
      <c r="T19" s="112" t="s">
        <v>29</v>
      </c>
    </row>
    <row r="20" spans="1:20" ht="282" customHeight="1" x14ac:dyDescent="0.35">
      <c r="A20" s="106">
        <v>5</v>
      </c>
      <c r="B20" s="107" t="str">
        <f>IF(A20="","",VLOOKUP(A20,'Mapa inherente'!$A$10:$E$15,5,FALSE))</f>
        <v>Posibilidad de afectación Económico y Reputacional  por la apropiación, uso o aplicación indebida de los equipos y elementos de las áreas Culturales, artísticas y deportivas,  por parte de los funcionarios públicos encargados de su administración, manejo y/o custodia, en beneficio propio, favorecimiento a terceros o asuntos no institucionales por Extralimitación de funciones y falta de controles para asegurar el correcto uso de los equipos y elementos de las áreas Culturales, artísticas y deportivas</v>
      </c>
      <c r="C20" s="108" t="str">
        <f>IF(A20="","",VLOOKUP(A20,'Mapa inherente'!$A$10:$N$15,14,FALSE))</f>
        <v>Moderado</v>
      </c>
      <c r="D20" s="109">
        <f t="shared" si="5"/>
        <v>1</v>
      </c>
      <c r="E20" s="110" t="s">
        <v>269</v>
      </c>
      <c r="F20" s="110" t="s">
        <v>214</v>
      </c>
      <c r="G20" s="110" t="s">
        <v>276</v>
      </c>
      <c r="H20" s="111" t="s">
        <v>13</v>
      </c>
      <c r="I20" s="111" t="s">
        <v>9</v>
      </c>
      <c r="J20" s="111" t="s">
        <v>18</v>
      </c>
      <c r="K20" s="111" t="s">
        <v>21</v>
      </c>
      <c r="L20" s="111" t="s">
        <v>109</v>
      </c>
      <c r="M20" s="95" t="str">
        <f t="shared" si="0"/>
        <v>40%</v>
      </c>
      <c r="N20" s="96" t="str">
        <f t="shared" si="1"/>
        <v>Probabilidad</v>
      </c>
      <c r="O20" s="97">
        <f>IF(A20="","",IF(D20=1,IFERROR(IF(N20="Probabilidad",(VLOOKUP(A20,'Mapa inherente'!$A$10:$M$15,9,FALSE)-(VLOOKUP(A20,'Mapa inherente'!$A$10:$M$15,9,FALSE)*M20)),IF(N20="Impacto",VLOOKUP(A20,'Mapa inherente'!$A$10:$M$15,9,FALSE),"")),""),
IFERROR(IF(N20="Probabilidad",(O19-(O19)*M20),O19),"")))</f>
        <v>0.36</v>
      </c>
      <c r="P20" s="98" t="str">
        <f t="shared" si="2"/>
        <v>Baja</v>
      </c>
      <c r="Q20" s="97">
        <f>IF(A20="","",IF(D20=1,IFERROR(IF(N20="Impacto",(VLOOKUP(A20,'Mapa inherente'!$A$10:$M$15,13,FALSE)-(VLOOKUP(A20,'Mapa inherente'!$A$10:$M$15,13,FALSE)*M20)),IF(N20="Probabilidad",VLOOKUP(A20,'Mapa inherente'!$A$10:$M$15,13,FALSE),"")),""),
                   IFERROR(IF(N20="Impacto",(Q19-(Q19)*M20),Q19),"")))</f>
        <v>0.6</v>
      </c>
      <c r="R20" s="98" t="str">
        <f t="shared" si="3"/>
        <v>Moderado</v>
      </c>
      <c r="S20" s="98" t="str">
        <f t="shared" si="4"/>
        <v>Moderado</v>
      </c>
      <c r="T20" s="112" t="s">
        <v>124</v>
      </c>
    </row>
    <row r="21" spans="1:20" ht="287.25" customHeight="1" x14ac:dyDescent="0.35">
      <c r="A21" s="106">
        <v>5</v>
      </c>
      <c r="B21" s="107" t="str">
        <f>IF(A21="","",VLOOKUP(A21,'Mapa inherente'!$A$10:$E$15,5,FALSE))</f>
        <v>Posibilidad de afectación Económico y Reputacional  por la apropiación, uso o aplicación indebida de los equipos y elementos de las áreas Culturales, artísticas y deportivas,  por parte de los funcionarios públicos encargados de su administración, manejo y/o custodia, en beneficio propio, favorecimiento a terceros o asuntos no institucionales por Extralimitación de funciones y falta de controles para asegurar el correcto uso de los equipos y elementos de las áreas Culturales, artísticas y deportivas</v>
      </c>
      <c r="C21" s="108" t="str">
        <f>IF(A21="","",VLOOKUP(A21,'Mapa inherente'!$A$10:$N$15,14,FALSE))</f>
        <v>Moderado</v>
      </c>
      <c r="D21" s="109">
        <f t="shared" si="5"/>
        <v>2</v>
      </c>
      <c r="E21" s="110" t="s">
        <v>270</v>
      </c>
      <c r="F21" s="110" t="s">
        <v>214</v>
      </c>
      <c r="G21" s="110" t="s">
        <v>271</v>
      </c>
      <c r="H21" s="111" t="s">
        <v>15</v>
      </c>
      <c r="I21" s="111" t="s">
        <v>9</v>
      </c>
      <c r="J21" s="111" t="s">
        <v>18</v>
      </c>
      <c r="K21" s="111" t="s">
        <v>21</v>
      </c>
      <c r="L21" s="111" t="s">
        <v>109</v>
      </c>
      <c r="M21" s="95" t="str">
        <f t="shared" si="0"/>
        <v>25%</v>
      </c>
      <c r="N21" s="96" t="str">
        <f t="shared" si="1"/>
        <v>Impacto</v>
      </c>
      <c r="O21" s="97">
        <f>IF(A21="","",IF(D21=1,IFERROR(IF(N21="Probabilidad",(VLOOKUP(A21,'Mapa inherente'!$A$10:$M$15,9,FALSE)-(VLOOKUP(A21,'Mapa inherente'!$A$10:$M$15,9,FALSE)*M21)),IF(N21="Impacto",VLOOKUP(A21,'Mapa inherente'!$A$10:$M$15,9,FALSE),"")),""),
IFERROR(IF(N21="Probabilidad",(O20-(O20)*M21),O20),"")))</f>
        <v>0.36</v>
      </c>
      <c r="P21" s="98" t="str">
        <f t="shared" si="2"/>
        <v>Baja</v>
      </c>
      <c r="Q21" s="97">
        <f>IF(A21="","",IF(D21=1,IFERROR(IF(N21="Impacto",(VLOOKUP(A21,'Mapa inherente'!$A$10:$M$15,13,FALSE)-(VLOOKUP(A21,'Mapa inherente'!$A$10:$M$15,13,FALSE)*M21)),IF(N21="Probabilidad",VLOOKUP(A21,'Mapa inherente'!$A$10:$M$15,13,FALSE),"")),""),
                   IFERROR(IF(N21="Impacto",(Q20-(Q20)*M21),Q20),"")))</f>
        <v>0.44999999999999996</v>
      </c>
      <c r="R21" s="98" t="str">
        <f t="shared" si="3"/>
        <v>Moderado</v>
      </c>
      <c r="S21" s="98" t="str">
        <f t="shared" si="4"/>
        <v>Moderado</v>
      </c>
      <c r="T21" s="112" t="s">
        <v>29</v>
      </c>
    </row>
    <row r="22" spans="1:20" ht="151.5" customHeight="1" x14ac:dyDescent="0.35">
      <c r="A22" s="106">
        <v>6</v>
      </c>
      <c r="B22" s="107" t="str">
        <f>IF(A22="","",VLOOKUP(A22,'Mapa inherente'!$A$10:$E$15,5,FALSE))</f>
        <v>Posibilidad de afectación Económico y Reputacional  por la emisión de recibido a satisfacción de un bien y/o un servicio sin el cumplimiento de las condiciones pactadas para un beneficio particular ,debido al tráfico de influencia, Amiguismo, clientelismo y/o soborno</v>
      </c>
      <c r="C22" s="108" t="str">
        <f>IF(A22="","",VLOOKUP(A22,'Mapa inherente'!$A$10:$N$15,14,FALSE))</f>
        <v>Extremo</v>
      </c>
      <c r="D22" s="109">
        <f t="shared" si="5"/>
        <v>1</v>
      </c>
      <c r="E22" s="110" t="s">
        <v>272</v>
      </c>
      <c r="F22" s="110" t="s">
        <v>213</v>
      </c>
      <c r="G22" s="110" t="s">
        <v>273</v>
      </c>
      <c r="H22" s="111" t="s">
        <v>13</v>
      </c>
      <c r="I22" s="111" t="s">
        <v>9</v>
      </c>
      <c r="J22" s="111" t="s">
        <v>18</v>
      </c>
      <c r="K22" s="111" t="s">
        <v>21</v>
      </c>
      <c r="L22" s="111" t="s">
        <v>109</v>
      </c>
      <c r="M22" s="95" t="str">
        <f t="shared" si="0"/>
        <v>40%</v>
      </c>
      <c r="N22" s="96" t="str">
        <f t="shared" si="1"/>
        <v>Probabilidad</v>
      </c>
      <c r="O22" s="97">
        <f>IF(A22="","",IF(D22=1,IFERROR(IF(N22="Probabilidad",(VLOOKUP(A22,'Mapa inherente'!$A$10:$M$15,9,FALSE)-(VLOOKUP(A22,'Mapa inherente'!$A$10:$M$15,9,FALSE)*M22)),IF(N22="Impacto",VLOOKUP(A22,'Mapa inherente'!$A$10:$M$15,9,FALSE),"")),""),
IFERROR(IF(N22="Probabilidad",(O21-(O21)*M22),O21),"")))</f>
        <v>0.24</v>
      </c>
      <c r="P22" s="98" t="str">
        <f t="shared" si="2"/>
        <v>Baja</v>
      </c>
      <c r="Q22" s="97">
        <f>IF(A22="","",IF(D22=1,IFERROR(IF(N22="Impacto",(VLOOKUP(A22,'Mapa inherente'!$A$10:$M$15,13,FALSE)-(VLOOKUP(A22,'Mapa inherente'!$A$10:$M$15,13,FALSE)*M22)),IF(N22="Probabilidad",VLOOKUP(A22,'Mapa inherente'!$A$10:$M$15,13,FALSE),"")),""),
                   IFERROR(IF(N22="Impacto",(Q21-(Q21)*M22),Q21),"")))</f>
        <v>1</v>
      </c>
      <c r="R22" s="98" t="str">
        <f t="shared" si="3"/>
        <v>Catastrófico</v>
      </c>
      <c r="S22" s="98" t="str">
        <f t="shared" si="4"/>
        <v>Extremo</v>
      </c>
      <c r="T22" s="112" t="s">
        <v>124</v>
      </c>
    </row>
    <row r="23" spans="1:20" ht="161.25" customHeight="1" x14ac:dyDescent="0.35">
      <c r="A23" s="106">
        <v>6</v>
      </c>
      <c r="B23" s="107" t="str">
        <f>IF(A23="","",VLOOKUP(A23,'Mapa inherente'!$A$10:$E$15,5,FALSE))</f>
        <v>Posibilidad de afectación Económico y Reputacional  por la emisión de recibido a satisfacción de un bien y/o un servicio sin el cumplimiento de las condiciones pactadas para un beneficio particular ,debido al tráfico de influencia, Amiguismo, clientelismo y/o soborno</v>
      </c>
      <c r="C23" s="108" t="str">
        <f>IF(A23="","",VLOOKUP(A23,'Mapa inherente'!$A$10:$N$15,14,FALSE))</f>
        <v>Extremo</v>
      </c>
      <c r="D23" s="109">
        <f t="shared" si="5"/>
        <v>2</v>
      </c>
      <c r="E23" s="110" t="s">
        <v>274</v>
      </c>
      <c r="F23" s="110" t="s">
        <v>213</v>
      </c>
      <c r="G23" s="110" t="s">
        <v>275</v>
      </c>
      <c r="H23" s="111" t="s">
        <v>15</v>
      </c>
      <c r="I23" s="111" t="s">
        <v>9</v>
      </c>
      <c r="J23" s="111" t="s">
        <v>18</v>
      </c>
      <c r="K23" s="111" t="s">
        <v>21</v>
      </c>
      <c r="L23" s="111" t="s">
        <v>109</v>
      </c>
      <c r="M23" s="95" t="str">
        <f t="shared" si="0"/>
        <v>25%</v>
      </c>
      <c r="N23" s="96" t="str">
        <f t="shared" si="1"/>
        <v>Impacto</v>
      </c>
      <c r="O23" s="97">
        <f>IF(A23="","",IF(D23=1,IFERROR(IF(N23="Probabilidad",(VLOOKUP(A23,'Mapa inherente'!$A$10:$M$15,9,FALSE)-(VLOOKUP(A23,'Mapa inherente'!$A$10:$M$15,9,FALSE)*M23)),IF(N23="Impacto",VLOOKUP(A23,'Mapa inherente'!$A$10:$M$15,9,FALSE),"")),""),
IFERROR(IF(N23="Probabilidad",(O22-(O22)*M23),O22),"")))</f>
        <v>0.24</v>
      </c>
      <c r="P23" s="98" t="str">
        <f t="shared" si="2"/>
        <v>Baja</v>
      </c>
      <c r="Q23" s="97">
        <f>IF(A23="","",IF(D23=1,IFERROR(IF(N23="Impacto",(VLOOKUP(A23,'Mapa inherente'!$A$10:$M$15,13,FALSE)-(VLOOKUP(A23,'Mapa inherente'!$A$10:$M$15,13,FALSE)*M23)),IF(N23="Probabilidad",VLOOKUP(A23,'Mapa inherente'!$A$10:$M$15,13,FALSE),"")),""),
                   IFERROR(IF(N23="Impacto",(Q22-(Q22)*M23),Q22),"")))</f>
        <v>0.75</v>
      </c>
      <c r="R23" s="98" t="str">
        <f t="shared" si="3"/>
        <v>Mayor</v>
      </c>
      <c r="S23" s="98" t="str">
        <f t="shared" si="4"/>
        <v>Alto</v>
      </c>
      <c r="T23" s="112" t="s">
        <v>29</v>
      </c>
    </row>
    <row r="24" spans="1:20" x14ac:dyDescent="0.35">
      <c r="A24" s="106"/>
      <c r="B24" s="107" t="str">
        <f>IF(A24="","",VLOOKUP(A24,'Mapa inherente'!$A$10:$E$15,5,FALSE))</f>
        <v/>
      </c>
      <c r="C24" s="108" t="str">
        <f>IF(A24="","",VLOOKUP(A24,'Mapa inherente'!$A$10:$N$15,14,FALSE))</f>
        <v/>
      </c>
      <c r="D24" s="109" t="str">
        <f t="shared" si="5"/>
        <v/>
      </c>
      <c r="E24" s="110"/>
      <c r="F24" s="110"/>
      <c r="G24" s="110"/>
      <c r="H24" s="111"/>
      <c r="I24" s="111"/>
      <c r="J24" s="111"/>
      <c r="K24" s="111"/>
      <c r="L24" s="111"/>
      <c r="M24" s="95" t="str">
        <f t="shared" si="0"/>
        <v/>
      </c>
      <c r="N24" s="96" t="str">
        <f t="shared" si="1"/>
        <v/>
      </c>
      <c r="O24" s="97" t="str">
        <f>IF(A24="","",IF(D24=1,IFERROR(IF(N24="Probabilidad",(VLOOKUP(A24,'Mapa inherente'!$A$10:$M$15,9,FALSE)-(VLOOKUP(A24,'Mapa inherente'!$A$10:$M$15,9,FALSE)*M24)),IF(N24="Impacto",VLOOKUP(A24,'Mapa inherente'!$A$10:$M$15,9,FALSE),"")),""),
IFERROR(IF(N24="Probabilidad",(O23-(O23)*M24),O23),"")))</f>
        <v/>
      </c>
      <c r="P24" s="98" t="str">
        <f t="shared" si="2"/>
        <v/>
      </c>
      <c r="Q24" s="97" t="str">
        <f>IF(A24="","",IF(D24=1,IFERROR(IF(N24="Impacto",(VLOOKUP(A24,'Mapa inherente'!$A$10:$M$15,13,FALSE)-(VLOOKUP(A24,'Mapa inherente'!$A$10:$M$15,13,FALSE)*M24)),IF(N24="Probabilidad",VLOOKUP(A24,'Mapa inherente'!$A$10:$M$15,13,FALSE),"")),""),
                   IFERROR(IF(N24="Impacto",(Q23-(Q23)*M24),Q23),"")))</f>
        <v/>
      </c>
      <c r="R24" s="98" t="str">
        <f t="shared" si="3"/>
        <v/>
      </c>
      <c r="S24" s="98" t="str">
        <f t="shared" si="4"/>
        <v/>
      </c>
      <c r="T24" s="112"/>
    </row>
    <row r="25" spans="1:20" x14ac:dyDescent="0.35">
      <c r="A25" s="106"/>
      <c r="B25" s="107" t="str">
        <f>IF(A25="","",VLOOKUP(A25,'Mapa inherente'!$A$10:$E$15,5,FALSE))</f>
        <v/>
      </c>
      <c r="C25" s="108" t="str">
        <f>IF(A25="","",VLOOKUP(A25,'Mapa inherente'!$A$10:$N$15,14,FALSE))</f>
        <v/>
      </c>
      <c r="D25" s="109" t="str">
        <f t="shared" si="5"/>
        <v/>
      </c>
      <c r="E25" s="110"/>
      <c r="F25" s="110"/>
      <c r="G25" s="110"/>
      <c r="H25" s="111"/>
      <c r="I25" s="111"/>
      <c r="J25" s="111"/>
      <c r="K25" s="111"/>
      <c r="L25" s="111"/>
      <c r="M25" s="95" t="str">
        <f t="shared" si="0"/>
        <v/>
      </c>
      <c r="N25" s="96" t="str">
        <f t="shared" si="1"/>
        <v/>
      </c>
      <c r="O25" s="97" t="str">
        <f>IF(A25="","",IF(D25=1,IFERROR(IF(N25="Probabilidad",(VLOOKUP(A25,'Mapa inherente'!$A$10:$M$15,9,FALSE)-(VLOOKUP(A25,'Mapa inherente'!$A$10:$M$15,9,FALSE)*M25)),IF(N25="Impacto",VLOOKUP(A25,'Mapa inherente'!$A$10:$M$15,9,FALSE),"")),""),
IFERROR(IF(N25="Probabilidad",(O24-(O24)*M25),O24),"")))</f>
        <v/>
      </c>
      <c r="P25" s="98" t="str">
        <f t="shared" si="2"/>
        <v/>
      </c>
      <c r="Q25" s="97" t="str">
        <f>IF(A25="","",IF(D25=1,IFERROR(IF(N25="Impacto",(VLOOKUP(A25,'Mapa inherente'!$A$10:$M$15,13,FALSE)-(VLOOKUP(A25,'Mapa inherente'!$A$10:$M$15,13,FALSE)*M25)),IF(N25="Probabilidad",VLOOKUP(A25,'Mapa inherente'!$A$10:$M$15,13,FALSE),"")),""),
                   IFERROR(IF(N25="Impacto",(Q24-(Q24)*M25),Q24),"")))</f>
        <v/>
      </c>
      <c r="R25" s="98" t="str">
        <f t="shared" si="3"/>
        <v/>
      </c>
      <c r="S25" s="98" t="str">
        <f t="shared" si="4"/>
        <v/>
      </c>
      <c r="T25" s="112"/>
    </row>
    <row r="26" spans="1:20" x14ac:dyDescent="0.35">
      <c r="A26" s="106"/>
      <c r="B26" s="107" t="str">
        <f>IF(A26="","",VLOOKUP(A26,'Mapa inherente'!$A$10:$E$15,5,FALSE))</f>
        <v/>
      </c>
      <c r="C26" s="108" t="str">
        <f>IF(A26="","",VLOOKUP(A26,'Mapa inherente'!$A$10:$N$15,14,FALSE))</f>
        <v/>
      </c>
      <c r="D26" s="109" t="str">
        <f t="shared" si="5"/>
        <v/>
      </c>
      <c r="E26" s="110"/>
      <c r="F26" s="110"/>
      <c r="G26" s="110"/>
      <c r="H26" s="111"/>
      <c r="I26" s="111"/>
      <c r="J26" s="111"/>
      <c r="K26" s="111"/>
      <c r="L26" s="111"/>
      <c r="M26" s="95" t="str">
        <f t="shared" si="0"/>
        <v/>
      </c>
      <c r="N26" s="96" t="str">
        <f t="shared" si="1"/>
        <v/>
      </c>
      <c r="O26" s="97" t="str">
        <f>IF(A26="","",IF(D26=1,IFERROR(IF(N26="Probabilidad",(VLOOKUP(A26,'Mapa inherente'!$A$10:$M$15,9,FALSE)-(VLOOKUP(A26,'Mapa inherente'!$A$10:$M$15,9,FALSE)*M26)),IF(N26="Impacto",VLOOKUP(A26,'Mapa inherente'!$A$10:$M$15,9,FALSE),"")),""),
IFERROR(IF(N26="Probabilidad",(O25-(O25)*M26),O25),"")))</f>
        <v/>
      </c>
      <c r="P26" s="98" t="str">
        <f t="shared" si="2"/>
        <v/>
      </c>
      <c r="Q26" s="97" t="str">
        <f>IF(A26="","",IF(D26=1,IFERROR(IF(N26="Impacto",(VLOOKUP(A26,'Mapa inherente'!$A$10:$M$15,13,FALSE)-(VLOOKUP(A26,'Mapa inherente'!$A$10:$M$15,13,FALSE)*M26)),IF(N26="Probabilidad",VLOOKUP(A26,'Mapa inherente'!$A$10:$M$15,13,FALSE),"")),""),
                   IFERROR(IF(N26="Impacto",(Q25-(Q25)*M26),Q25),"")))</f>
        <v/>
      </c>
      <c r="R26" s="98" t="str">
        <f t="shared" si="3"/>
        <v/>
      </c>
      <c r="S26" s="98" t="str">
        <f t="shared" si="4"/>
        <v/>
      </c>
      <c r="T26" s="112"/>
    </row>
    <row r="27" spans="1:20" x14ac:dyDescent="0.35">
      <c r="A27" s="106"/>
      <c r="B27" s="107" t="str">
        <f>IF(A27="","",VLOOKUP(A27,'Mapa inherente'!$A$10:$E$15,5,FALSE))</f>
        <v/>
      </c>
      <c r="C27" s="108" t="str">
        <f>IF(A27="","",VLOOKUP(A27,'Mapa inherente'!$A$10:$N$15,14,FALSE))</f>
        <v/>
      </c>
      <c r="D27" s="109" t="str">
        <f t="shared" si="5"/>
        <v/>
      </c>
      <c r="E27" s="110"/>
      <c r="F27" s="110"/>
      <c r="G27" s="110"/>
      <c r="H27" s="111"/>
      <c r="I27" s="111"/>
      <c r="J27" s="111"/>
      <c r="K27" s="111"/>
      <c r="L27" s="111"/>
      <c r="M27" s="95" t="str">
        <f t="shared" si="0"/>
        <v/>
      </c>
      <c r="N27" s="96" t="str">
        <f t="shared" si="1"/>
        <v/>
      </c>
      <c r="O27" s="97" t="str">
        <f>IF(A27="","",IF(D27=1,IFERROR(IF(N27="Probabilidad",(VLOOKUP(A27,'Mapa inherente'!$A$10:$M$15,9,FALSE)-(VLOOKUP(A27,'Mapa inherente'!$A$10:$M$15,9,FALSE)*M27)),IF(N27="Impacto",VLOOKUP(A27,'Mapa inherente'!$A$10:$M$15,9,FALSE),"")),""),
IFERROR(IF(N27="Probabilidad",(O26-(O26)*M27),O26),"")))</f>
        <v/>
      </c>
      <c r="P27" s="98" t="str">
        <f t="shared" si="2"/>
        <v/>
      </c>
      <c r="Q27" s="97" t="str">
        <f>IF(A27="","",IF(D27=1,IFERROR(IF(N27="Impacto",(VLOOKUP(A27,'Mapa inherente'!$A$10:$M$15,13,FALSE)-(VLOOKUP(A27,'Mapa inherente'!$A$10:$M$15,13,FALSE)*M27)),IF(N27="Probabilidad",VLOOKUP(A27,'Mapa inherente'!$A$10:$M$15,13,FALSE),"")),""),
                   IFERROR(IF(N27="Impacto",(Q26-(Q26)*M27),Q26),"")))</f>
        <v/>
      </c>
      <c r="R27" s="98" t="str">
        <f t="shared" si="3"/>
        <v/>
      </c>
      <c r="S27" s="98" t="str">
        <f t="shared" si="4"/>
        <v/>
      </c>
      <c r="T27" s="112"/>
    </row>
    <row r="28" spans="1:20" x14ac:dyDescent="0.35">
      <c r="A28" s="106"/>
      <c r="B28" s="107" t="str">
        <f>IF(A28="","",VLOOKUP(A28,'Mapa inherente'!$A$10:$E$15,5,FALSE))</f>
        <v/>
      </c>
      <c r="C28" s="108" t="str">
        <f>IF(A28="","",VLOOKUP(A28,'Mapa inherente'!$A$10:$N$15,14,FALSE))</f>
        <v/>
      </c>
      <c r="D28" s="109" t="str">
        <f t="shared" si="5"/>
        <v/>
      </c>
      <c r="E28" s="110"/>
      <c r="F28" s="110"/>
      <c r="G28" s="110"/>
      <c r="H28" s="111"/>
      <c r="I28" s="111"/>
      <c r="J28" s="111"/>
      <c r="K28" s="111"/>
      <c r="L28" s="111"/>
      <c r="M28" s="95" t="str">
        <f t="shared" si="0"/>
        <v/>
      </c>
      <c r="N28" s="96" t="str">
        <f t="shared" si="1"/>
        <v/>
      </c>
      <c r="O28" s="97" t="str">
        <f>IF(A28="","",IF(D28=1,IFERROR(IF(N28="Probabilidad",(VLOOKUP(A28,'Mapa inherente'!$A$10:$M$15,9,FALSE)-(VLOOKUP(A28,'Mapa inherente'!$A$10:$M$15,9,FALSE)*M28)),IF(N28="Impacto",VLOOKUP(A28,'Mapa inherente'!$A$10:$M$15,9,FALSE),"")),""),
IFERROR(IF(N28="Probabilidad",(O27-(O27)*M28),O27),"")))</f>
        <v/>
      </c>
      <c r="P28" s="98" t="str">
        <f t="shared" si="2"/>
        <v/>
      </c>
      <c r="Q28" s="97" t="str">
        <f>IF(A28="","",IF(D28=1,IFERROR(IF(N28="Impacto",(VLOOKUP(A28,'Mapa inherente'!$A$10:$M$15,13,FALSE)-(VLOOKUP(A28,'Mapa inherente'!$A$10:$M$15,13,FALSE)*M28)),IF(N28="Probabilidad",VLOOKUP(A28,'Mapa inherente'!$A$10:$M$15,13,FALSE),"")),""),
                   IFERROR(IF(N28="Impacto",(Q27-(Q27)*M28),Q27),"")))</f>
        <v/>
      </c>
      <c r="R28" s="98" t="str">
        <f t="shared" si="3"/>
        <v/>
      </c>
      <c r="S28" s="98" t="str">
        <f t="shared" si="4"/>
        <v/>
      </c>
      <c r="T28" s="112"/>
    </row>
    <row r="29" spans="1:20" x14ac:dyDescent="0.35">
      <c r="A29" s="106"/>
      <c r="B29" s="107" t="str">
        <f>IF(A29="","",VLOOKUP(A29,'Mapa inherente'!$A$10:$E$15,5,FALSE))</f>
        <v/>
      </c>
      <c r="C29" s="108" t="str">
        <f>IF(A29="","",VLOOKUP(A29,'Mapa inherente'!$A$10:$N$15,14,FALSE))</f>
        <v/>
      </c>
      <c r="D29" s="109" t="str">
        <f>IF(B29="","",IF(B29=#REF!,#REF!+1,1))</f>
        <v/>
      </c>
      <c r="E29" s="110"/>
      <c r="F29" s="110"/>
      <c r="G29" s="110"/>
      <c r="H29" s="111"/>
      <c r="I29" s="111"/>
      <c r="J29" s="111"/>
      <c r="K29" s="111"/>
      <c r="L29" s="111"/>
      <c r="M29" s="95" t="str">
        <f t="shared" si="0"/>
        <v/>
      </c>
      <c r="N29" s="96" t="str">
        <f t="shared" si="1"/>
        <v/>
      </c>
      <c r="O29" s="97" t="str">
        <f>IF(A29="","",IF(D29=1,IFERROR(IF(N29="Probabilidad",(VLOOKUP(A29,'Mapa inherente'!$A$10:$M$15,9,FALSE)-(VLOOKUP(A29,'Mapa inherente'!$A$10:$M$15,9,FALSE)*M29)),IF(N29="Impacto",VLOOKUP(A29,'Mapa inherente'!$A$10:$M$15,9,FALSE),"")),""),
IFERROR(IF(N29="Probabilidad",(#REF!-(#REF!)*M29),#REF!),"")))</f>
        <v/>
      </c>
      <c r="P29" s="98" t="str">
        <f t="shared" si="2"/>
        <v/>
      </c>
      <c r="Q29" s="97" t="str">
        <f>IF(A29="","",IF(D29=1,IFERROR(IF(N29="Impacto",(VLOOKUP(A29,'Mapa inherente'!$A$10:$M$15,13,FALSE)-(VLOOKUP(A29,'Mapa inherente'!$A$10:$M$15,13,FALSE)*M29)),IF(N29="Probabilidad",VLOOKUP(A29,'Mapa inherente'!$A$10:$M$15,13,FALSE),"")),""),
                   IFERROR(IF(N29="Impacto",(#REF!-(#REF!)*M29),#REF!),"")))</f>
        <v/>
      </c>
      <c r="R29" s="98" t="str">
        <f t="shared" si="3"/>
        <v/>
      </c>
      <c r="S29" s="98" t="str">
        <f t="shared" si="4"/>
        <v/>
      </c>
      <c r="T29" s="112"/>
    </row>
    <row r="30" spans="1:20" x14ac:dyDescent="0.35">
      <c r="A30" s="106"/>
      <c r="B30" s="107" t="str">
        <f>IF(A30="","",VLOOKUP(A30,'Mapa inherente'!$A$10:$E$15,5,FALSE))</f>
        <v/>
      </c>
      <c r="C30" s="108" t="str">
        <f>IF(A30="","",VLOOKUP(A30,'Mapa inherente'!$A$10:$N$15,14,FALSE))</f>
        <v/>
      </c>
      <c r="D30" s="109" t="str">
        <f t="shared" si="5"/>
        <v/>
      </c>
      <c r="E30" s="110"/>
      <c r="F30" s="110"/>
      <c r="G30" s="110"/>
      <c r="H30" s="111"/>
      <c r="I30" s="111"/>
      <c r="J30" s="111"/>
      <c r="K30" s="111"/>
      <c r="L30" s="111"/>
      <c r="M30" s="95" t="str">
        <f t="shared" si="0"/>
        <v/>
      </c>
      <c r="N30" s="96" t="str">
        <f t="shared" si="1"/>
        <v/>
      </c>
      <c r="O30" s="97" t="str">
        <f>IF(A30="","",IF(D30=1,IFERROR(IF(N30="Probabilidad",(VLOOKUP(A30,'Mapa inherente'!$A$10:$M$15,9,FALSE)-(VLOOKUP(A30,'Mapa inherente'!$A$10:$M$15,9,FALSE)*M30)),IF(N30="Impacto",VLOOKUP(A30,'Mapa inherente'!$A$10:$M$15,9,FALSE),"")),""),
IFERROR(IF(N30="Probabilidad",(O29-(O29)*M30),O29),"")))</f>
        <v/>
      </c>
      <c r="P30" s="98" t="str">
        <f t="shared" si="2"/>
        <v/>
      </c>
      <c r="Q30" s="97" t="str">
        <f>IF(A30="","",IF(D30=1,IFERROR(IF(N30="Impacto",(VLOOKUP(A30,'Mapa inherente'!$A$10:$M$15,13,FALSE)-(VLOOKUP(A30,'Mapa inherente'!$A$10:$M$15,13,FALSE)*M30)),IF(N30="Probabilidad",VLOOKUP(A30,'Mapa inherente'!$A$10:$M$15,13,FALSE),"")),""),
                   IFERROR(IF(N30="Impacto",(Q29-(Q29)*M30),Q29),"")))</f>
        <v/>
      </c>
      <c r="R30" s="98" t="str">
        <f t="shared" si="3"/>
        <v/>
      </c>
      <c r="S30" s="98" t="str">
        <f t="shared" si="4"/>
        <v/>
      </c>
      <c r="T30" s="112"/>
    </row>
    <row r="31" spans="1:20" x14ac:dyDescent="0.35">
      <c r="A31" s="106"/>
      <c r="B31" s="107" t="str">
        <f>IF(A31="","",VLOOKUP(A31,'Mapa inherente'!$A$10:$E$15,5,FALSE))</f>
        <v/>
      </c>
      <c r="C31" s="108" t="str">
        <f>IF(A31="","",VLOOKUP(A31,'Mapa inherente'!$A$10:$N$15,14,FALSE))</f>
        <v/>
      </c>
      <c r="D31" s="109" t="str">
        <f t="shared" si="5"/>
        <v/>
      </c>
      <c r="E31" s="110"/>
      <c r="F31" s="110"/>
      <c r="G31" s="110"/>
      <c r="H31" s="111"/>
      <c r="I31" s="111"/>
      <c r="J31" s="111"/>
      <c r="K31" s="111"/>
      <c r="L31" s="111"/>
      <c r="M31" s="95" t="str">
        <f t="shared" si="0"/>
        <v/>
      </c>
      <c r="N31" s="96" t="str">
        <f t="shared" si="1"/>
        <v/>
      </c>
      <c r="O31" s="97" t="str">
        <f>IF(A31="","",IF(D31=1,IFERROR(IF(N31="Probabilidad",(VLOOKUP(A31,'Mapa inherente'!$A$10:$M$15,9,FALSE)-(VLOOKUP(A31,'Mapa inherente'!$A$10:$M$15,9,FALSE)*M31)),IF(N31="Impacto",VLOOKUP(A31,'Mapa inherente'!$A$10:$M$15,9,FALSE),"")),""),
IFERROR(IF(N31="Probabilidad",(O30-(O30)*M31),O30),"")))</f>
        <v/>
      </c>
      <c r="P31" s="98" t="str">
        <f t="shared" si="2"/>
        <v/>
      </c>
      <c r="Q31" s="97" t="str">
        <f>IF(A31="","",IF(D31=1,IFERROR(IF(N31="Impacto",(VLOOKUP(A31,'Mapa inherente'!$A$10:$M$15,13,FALSE)-(VLOOKUP(A31,'Mapa inherente'!$A$10:$M$15,13,FALSE)*M31)),IF(N31="Probabilidad",VLOOKUP(A31,'Mapa inherente'!$A$10:$M$15,13,FALSE),"")),""),
                   IFERROR(IF(N31="Impacto",(Q30-(Q30)*M31),Q30),"")))</f>
        <v/>
      </c>
      <c r="R31" s="98" t="str">
        <f t="shared" si="3"/>
        <v/>
      </c>
      <c r="S31" s="98" t="str">
        <f t="shared" si="4"/>
        <v/>
      </c>
      <c r="T31" s="112"/>
    </row>
    <row r="32" spans="1:20" x14ac:dyDescent="0.35">
      <c r="A32" s="106"/>
      <c r="B32" s="107" t="str">
        <f>IF(A32="","",VLOOKUP(A32,'Mapa inherente'!$A$10:$E$15,5,FALSE))</f>
        <v/>
      </c>
      <c r="C32" s="108" t="str">
        <f>IF(A32="","",VLOOKUP(A32,'Mapa inherente'!$A$10:$N$15,14,FALSE))</f>
        <v/>
      </c>
      <c r="D32" s="109" t="str">
        <f t="shared" si="5"/>
        <v/>
      </c>
      <c r="E32" s="110"/>
      <c r="F32" s="110"/>
      <c r="G32" s="110"/>
      <c r="H32" s="111"/>
      <c r="I32" s="111"/>
      <c r="J32" s="111"/>
      <c r="K32" s="111"/>
      <c r="L32" s="111"/>
      <c r="M32" s="95" t="str">
        <f t="shared" si="0"/>
        <v/>
      </c>
      <c r="N32" s="96" t="str">
        <f t="shared" si="1"/>
        <v/>
      </c>
      <c r="O32" s="97" t="str">
        <f>IF(A32="","",IF(D32=1,IFERROR(IF(N32="Probabilidad",(VLOOKUP(A32,'Mapa inherente'!$A$10:$M$15,9,FALSE)-(VLOOKUP(A32,'Mapa inherente'!$A$10:$M$15,9,FALSE)*M32)),IF(N32="Impacto",VLOOKUP(A32,'Mapa inherente'!$A$10:$M$15,9,FALSE),"")),""),
IFERROR(IF(N32="Probabilidad",(O31-(O31)*M32),O31),"")))</f>
        <v/>
      </c>
      <c r="P32" s="98" t="str">
        <f t="shared" si="2"/>
        <v/>
      </c>
      <c r="Q32" s="97" t="str">
        <f>IF(A32="","",IF(D32=1,IFERROR(IF(N32="Impacto",(VLOOKUP(A32,'Mapa inherente'!$A$10:$M$15,13,FALSE)-(VLOOKUP(A32,'Mapa inherente'!$A$10:$M$15,13,FALSE)*M32)),IF(N32="Probabilidad",VLOOKUP(A32,'Mapa inherente'!$A$10:$M$15,13,FALSE),"")),""),
                   IFERROR(IF(N32="Impacto",(Q31-(Q31)*M32),Q31),"")))</f>
        <v/>
      </c>
      <c r="R32" s="98" t="str">
        <f t="shared" si="3"/>
        <v/>
      </c>
      <c r="S32" s="98" t="str">
        <f t="shared" si="4"/>
        <v/>
      </c>
      <c r="T32" s="112"/>
    </row>
    <row r="33" spans="1:20" x14ac:dyDescent="0.35">
      <c r="A33" s="106"/>
      <c r="B33" s="107" t="str">
        <f>IF(A33="","",VLOOKUP(A33,'Mapa inherente'!$A$10:$E$15,5,FALSE))</f>
        <v/>
      </c>
      <c r="C33" s="108" t="str">
        <f>IF(A33="","",VLOOKUP(A33,'Mapa inherente'!$A$10:$N$15,14,FALSE))</f>
        <v/>
      </c>
      <c r="D33" s="109" t="str">
        <f t="shared" si="5"/>
        <v/>
      </c>
      <c r="E33" s="110"/>
      <c r="F33" s="110"/>
      <c r="G33" s="110"/>
      <c r="H33" s="111"/>
      <c r="I33" s="111"/>
      <c r="J33" s="111"/>
      <c r="K33" s="111"/>
      <c r="L33" s="111"/>
      <c r="M33" s="95" t="str">
        <f t="shared" si="0"/>
        <v/>
      </c>
      <c r="N33" s="96" t="str">
        <f t="shared" si="1"/>
        <v/>
      </c>
      <c r="O33" s="97" t="str">
        <f>IF(A33="","",IF(D33=1,IFERROR(IF(N33="Probabilidad",(VLOOKUP(A33,'Mapa inherente'!$A$10:$M$15,9,FALSE)-(VLOOKUP(A33,'Mapa inherente'!$A$10:$M$15,9,FALSE)*M33)),IF(N33="Impacto",VLOOKUP(A33,'Mapa inherente'!$A$10:$M$15,9,FALSE),"")),""),
IFERROR(IF(N33="Probabilidad",(O32-(O32)*M33),O32),"")))</f>
        <v/>
      </c>
      <c r="P33" s="98" t="str">
        <f t="shared" si="2"/>
        <v/>
      </c>
      <c r="Q33" s="97" t="str">
        <f>IF(A33="","",IF(D33=1,IFERROR(IF(N33="Impacto",(VLOOKUP(A33,'Mapa inherente'!$A$10:$M$15,13,FALSE)-(VLOOKUP(A33,'Mapa inherente'!$A$10:$M$15,13,FALSE)*M33)),IF(N33="Probabilidad",VLOOKUP(A33,'Mapa inherente'!$A$10:$M$15,13,FALSE),"")),""),
                   IFERROR(IF(N33="Impacto",(Q32-(Q32)*M33),Q32),"")))</f>
        <v/>
      </c>
      <c r="R33" s="98" t="str">
        <f t="shared" si="3"/>
        <v/>
      </c>
      <c r="S33" s="98" t="str">
        <f t="shared" si="4"/>
        <v/>
      </c>
      <c r="T33" s="112"/>
    </row>
    <row r="34" spans="1:20" x14ac:dyDescent="0.35">
      <c r="A34" s="106"/>
      <c r="B34" s="107" t="str">
        <f>IF(A34="","",VLOOKUP(A34,'Mapa inherente'!$A$10:$E$15,5,FALSE))</f>
        <v/>
      </c>
      <c r="C34" s="108" t="str">
        <f>IF(A34="","",VLOOKUP(A34,'Mapa inherente'!$A$10:$N$15,14,FALSE))</f>
        <v/>
      </c>
      <c r="D34" s="109" t="str">
        <f t="shared" si="5"/>
        <v/>
      </c>
      <c r="E34" s="110"/>
      <c r="F34" s="110"/>
      <c r="G34" s="110"/>
      <c r="H34" s="111"/>
      <c r="I34" s="111"/>
      <c r="J34" s="111"/>
      <c r="K34" s="111"/>
      <c r="L34" s="111"/>
      <c r="M34" s="95" t="str">
        <f t="shared" si="0"/>
        <v/>
      </c>
      <c r="N34" s="96" t="str">
        <f t="shared" si="1"/>
        <v/>
      </c>
      <c r="O34" s="97" t="str">
        <f>IF(A34="","",IF(D34=1,IFERROR(IF(N34="Probabilidad",(VLOOKUP(A34,'Mapa inherente'!$A$10:$M$15,9,FALSE)-(VLOOKUP(A34,'Mapa inherente'!$A$10:$M$15,9,FALSE)*M34)),IF(N34="Impacto",VLOOKUP(A34,'Mapa inherente'!$A$10:$M$15,9,FALSE),"")),""),
IFERROR(IF(N34="Probabilidad",(O33-(O33)*M34),O33),"")))</f>
        <v/>
      </c>
      <c r="P34" s="98" t="str">
        <f t="shared" si="2"/>
        <v/>
      </c>
      <c r="Q34" s="97" t="str">
        <f>IF(A34="","",IF(D34=1,IFERROR(IF(N34="Impacto",(VLOOKUP(A34,'Mapa inherente'!$A$10:$M$15,13,FALSE)-(VLOOKUP(A34,'Mapa inherente'!$A$10:$M$15,13,FALSE)*M34)),IF(N34="Probabilidad",VLOOKUP(A34,'Mapa inherente'!$A$10:$M$15,13,FALSE),"")),""),
                   IFERROR(IF(N34="Impacto",(Q33-(Q33)*M34),Q33),"")))</f>
        <v/>
      </c>
      <c r="R34" s="98" t="str">
        <f t="shared" si="3"/>
        <v/>
      </c>
      <c r="S34" s="98" t="str">
        <f t="shared" si="4"/>
        <v/>
      </c>
      <c r="T34" s="112"/>
    </row>
    <row r="35" spans="1:20" x14ac:dyDescent="0.35">
      <c r="A35" s="106"/>
      <c r="B35" s="107" t="str">
        <f>IF(A35="","",VLOOKUP(A35,'Mapa inherente'!$A$10:$E$15,5,FALSE))</f>
        <v/>
      </c>
      <c r="C35" s="108" t="str">
        <f>IF(A35="","",VLOOKUP(A35,'Mapa inherente'!$A$10:$N$15,14,FALSE))</f>
        <v/>
      </c>
      <c r="D35" s="109" t="str">
        <f t="shared" si="5"/>
        <v/>
      </c>
      <c r="E35" s="110"/>
      <c r="F35" s="110"/>
      <c r="G35" s="110"/>
      <c r="H35" s="111"/>
      <c r="I35" s="111"/>
      <c r="J35" s="111"/>
      <c r="K35" s="111"/>
      <c r="L35" s="111"/>
      <c r="M35" s="95" t="str">
        <f t="shared" si="0"/>
        <v/>
      </c>
      <c r="N35" s="96" t="str">
        <f t="shared" si="1"/>
        <v/>
      </c>
      <c r="O35" s="97" t="str">
        <f>IF(A35="","",IF(D35=1,IFERROR(IF(N35="Probabilidad",(VLOOKUP(A35,'Mapa inherente'!$A$10:$M$15,9,FALSE)-(VLOOKUP(A35,'Mapa inherente'!$A$10:$M$15,9,FALSE)*M35)),IF(N35="Impacto",VLOOKUP(A35,'Mapa inherente'!$A$10:$M$15,9,FALSE),"")),""),
IFERROR(IF(N35="Probabilidad",(O34-(O34)*M35),O34),"")))</f>
        <v/>
      </c>
      <c r="P35" s="98" t="str">
        <f t="shared" si="2"/>
        <v/>
      </c>
      <c r="Q35" s="97" t="str">
        <f>IF(A35="","",IF(D35=1,IFERROR(IF(N35="Impacto",(VLOOKUP(A35,'Mapa inherente'!$A$10:$M$15,13,FALSE)-(VLOOKUP(A35,'Mapa inherente'!$A$10:$M$15,13,FALSE)*M35)),IF(N35="Probabilidad",VLOOKUP(A35,'Mapa inherente'!$A$10:$M$15,13,FALSE),"")),""),
                   IFERROR(IF(N35="Impacto",(Q34-(Q34)*M35),Q34),"")))</f>
        <v/>
      </c>
      <c r="R35" s="98" t="str">
        <f t="shared" si="3"/>
        <v/>
      </c>
      <c r="S35" s="98" t="str">
        <f t="shared" si="4"/>
        <v/>
      </c>
      <c r="T35" s="112"/>
    </row>
    <row r="36" spans="1:20" x14ac:dyDescent="0.35">
      <c r="A36" s="106"/>
      <c r="B36" s="107" t="str">
        <f>IF(A36="","",VLOOKUP(A36,'Mapa inherente'!$A$10:$E$15,5,FALSE))</f>
        <v/>
      </c>
      <c r="C36" s="108" t="str">
        <f>IF(A36="","",VLOOKUP(A36,'Mapa inherente'!$A$10:$N$15,14,FALSE))</f>
        <v/>
      </c>
      <c r="D36" s="109" t="str">
        <f t="shared" si="5"/>
        <v/>
      </c>
      <c r="E36" s="110"/>
      <c r="F36" s="110"/>
      <c r="G36" s="110"/>
      <c r="H36" s="111"/>
      <c r="I36" s="111"/>
      <c r="J36" s="111"/>
      <c r="K36" s="111"/>
      <c r="L36" s="111"/>
      <c r="M36" s="95" t="str">
        <f t="shared" si="0"/>
        <v/>
      </c>
      <c r="N36" s="96" t="str">
        <f t="shared" si="1"/>
        <v/>
      </c>
      <c r="O36" s="97" t="str">
        <f>IF(A36="","",IF(D36=1,IFERROR(IF(N36="Probabilidad",(VLOOKUP(A36,'Mapa inherente'!$A$10:$M$15,9,FALSE)-(VLOOKUP(A36,'Mapa inherente'!$A$10:$M$15,9,FALSE)*M36)),IF(N36="Impacto",VLOOKUP(A36,'Mapa inherente'!$A$10:$M$15,9,FALSE),"")),""),
IFERROR(IF(N36="Probabilidad",(O35-(O35)*M36),O35),"")))</f>
        <v/>
      </c>
      <c r="P36" s="98" t="str">
        <f t="shared" si="2"/>
        <v/>
      </c>
      <c r="Q36" s="97" t="str">
        <f>IF(A36="","",IF(D36=1,IFERROR(IF(N36="Impacto",(VLOOKUP(A36,'Mapa inherente'!$A$10:$M$15,13,FALSE)-(VLOOKUP(A36,'Mapa inherente'!$A$10:$M$15,13,FALSE)*M36)),IF(N36="Probabilidad",VLOOKUP(A36,'Mapa inherente'!$A$10:$M$15,13,FALSE),"")),""),
                   IFERROR(IF(N36="Impacto",(Q35-(Q35)*M36),Q35),"")))</f>
        <v/>
      </c>
      <c r="R36" s="98" t="str">
        <f t="shared" si="3"/>
        <v/>
      </c>
      <c r="S36" s="98" t="str">
        <f t="shared" si="4"/>
        <v/>
      </c>
      <c r="T36" s="112"/>
    </row>
    <row r="37" spans="1:20" x14ac:dyDescent="0.35">
      <c r="A37" s="106"/>
      <c r="B37" s="107" t="str">
        <f>IF(A37="","",VLOOKUP(A37,'Mapa inherente'!$A$10:$E$15,5,FALSE))</f>
        <v/>
      </c>
      <c r="C37" s="108" t="str">
        <f>IF(A37="","",VLOOKUP(A37,'Mapa inherente'!$A$10:$N$15,14,FALSE))</f>
        <v/>
      </c>
      <c r="D37" s="109" t="str">
        <f t="shared" si="5"/>
        <v/>
      </c>
      <c r="E37" s="110"/>
      <c r="F37" s="110"/>
      <c r="G37" s="110"/>
      <c r="H37" s="111"/>
      <c r="I37" s="111"/>
      <c r="J37" s="111"/>
      <c r="K37" s="111"/>
      <c r="L37" s="111"/>
      <c r="M37" s="95" t="str">
        <f t="shared" si="0"/>
        <v/>
      </c>
      <c r="N37" s="96" t="str">
        <f t="shared" si="1"/>
        <v/>
      </c>
      <c r="O37" s="97" t="str">
        <f>IF(A37="","",IF(D37=1,IFERROR(IF(N37="Probabilidad",(VLOOKUP(A37,'Mapa inherente'!$A$10:$M$15,9,FALSE)-(VLOOKUP(A37,'Mapa inherente'!$A$10:$M$15,9,FALSE)*M37)),IF(N37="Impacto",VLOOKUP(A37,'Mapa inherente'!$A$10:$M$15,9,FALSE),"")),""),
IFERROR(IF(N37="Probabilidad",(O36-(O36)*M37),O36),"")))</f>
        <v/>
      </c>
      <c r="P37" s="98" t="str">
        <f t="shared" si="2"/>
        <v/>
      </c>
      <c r="Q37" s="97" t="str">
        <f>IF(A37="","",IF(D37=1,IFERROR(IF(N37="Impacto",(VLOOKUP(A37,'Mapa inherente'!$A$10:$M$15,13,FALSE)-(VLOOKUP(A37,'Mapa inherente'!$A$10:$M$15,13,FALSE)*M37)),IF(N37="Probabilidad",VLOOKUP(A37,'Mapa inherente'!$A$10:$M$15,13,FALSE),"")),""),
                   IFERROR(IF(N37="Impacto",(Q36-(Q36)*M37),Q36),"")))</f>
        <v/>
      </c>
      <c r="R37" s="98" t="str">
        <f t="shared" si="3"/>
        <v/>
      </c>
      <c r="S37" s="98" t="str">
        <f t="shared" si="4"/>
        <v/>
      </c>
      <c r="T37" s="112"/>
    </row>
    <row r="38" spans="1:20" x14ac:dyDescent="0.35">
      <c r="A38" s="106"/>
      <c r="B38" s="107" t="str">
        <f>IF(A38="","",VLOOKUP(A38,'Mapa inherente'!$A$10:$E$15,5,FALSE))</f>
        <v/>
      </c>
      <c r="C38" s="108" t="str">
        <f>IF(A38="","",VLOOKUP(A38,'Mapa inherente'!$A$10:$N$15,14,FALSE))</f>
        <v/>
      </c>
      <c r="D38" s="109" t="str">
        <f t="shared" si="5"/>
        <v/>
      </c>
      <c r="E38" s="110"/>
      <c r="F38" s="110"/>
      <c r="G38" s="110"/>
      <c r="H38" s="111"/>
      <c r="I38" s="111"/>
      <c r="J38" s="111"/>
      <c r="K38" s="111"/>
      <c r="L38" s="111"/>
      <c r="M38" s="95" t="str">
        <f t="shared" si="0"/>
        <v/>
      </c>
      <c r="N38" s="96" t="str">
        <f t="shared" si="1"/>
        <v/>
      </c>
      <c r="O38" s="97" t="str">
        <f>IF(A38="","",IF(D38=1,IFERROR(IF(N38="Probabilidad",(VLOOKUP(A38,'Mapa inherente'!$A$10:$M$15,9,FALSE)-(VLOOKUP(A38,'Mapa inherente'!$A$10:$M$15,9,FALSE)*M38)),IF(N38="Impacto",VLOOKUP(A38,'Mapa inherente'!$A$10:$M$15,9,FALSE),"")),""),
IFERROR(IF(N38="Probabilidad",(O37-(O37)*M38),O37),"")))</f>
        <v/>
      </c>
      <c r="P38" s="98" t="str">
        <f t="shared" si="2"/>
        <v/>
      </c>
      <c r="Q38" s="97" t="str">
        <f>IF(A38="","",IF(D38=1,IFERROR(IF(N38="Impacto",(VLOOKUP(A38,'Mapa inherente'!$A$10:$M$15,13,FALSE)-(VLOOKUP(A38,'Mapa inherente'!$A$10:$M$15,13,FALSE)*M38)),IF(N38="Probabilidad",VLOOKUP(A38,'Mapa inherente'!$A$10:$M$15,13,FALSE),"")),""),
                   IFERROR(IF(N38="Impacto",(Q37-(Q37)*M38),Q37),"")))</f>
        <v/>
      </c>
      <c r="R38" s="98" t="str">
        <f t="shared" si="3"/>
        <v/>
      </c>
      <c r="S38" s="98" t="str">
        <f t="shared" si="4"/>
        <v/>
      </c>
      <c r="T38" s="112"/>
    </row>
    <row r="39" spans="1:20" ht="15" thickBot="1" x14ac:dyDescent="0.4">
      <c r="A39" s="113"/>
      <c r="B39" s="107" t="str">
        <f>IF(A39="","",VLOOKUP(A39,'Mapa inherente'!$A$10:$E$15,5,FALSE))</f>
        <v/>
      </c>
      <c r="C39" s="108" t="str">
        <f>IF(A39="","",VLOOKUP(A39,'Mapa inherente'!$A$10:$N$15,14,FALSE))</f>
        <v/>
      </c>
      <c r="D39" s="114" t="str">
        <f t="shared" si="5"/>
        <v/>
      </c>
      <c r="E39" s="115"/>
      <c r="F39" s="115"/>
      <c r="G39" s="115"/>
      <c r="H39" s="116"/>
      <c r="I39" s="116"/>
      <c r="J39" s="116"/>
      <c r="K39" s="116"/>
      <c r="L39" s="116"/>
      <c r="M39" s="99" t="str">
        <f t="shared" si="0"/>
        <v/>
      </c>
      <c r="N39" s="100" t="str">
        <f t="shared" si="1"/>
        <v/>
      </c>
      <c r="O39" s="97" t="str">
        <f>IF(A39="","",IF(D39=1,IFERROR(IF(N39="Probabilidad",(VLOOKUP(A39,'Mapa inherente'!$A$10:$M$15,9,FALSE)-(VLOOKUP(A39,'Mapa inherente'!$A$10:$M$15,9,FALSE)*M39)),IF(N39="Impacto",VLOOKUP(A39,'Mapa inherente'!$A$10:$M$15,9,FALSE),"")),""),
IFERROR(IF(N39="Probabilidad",(O38-(O38)*M39),O38),"")))</f>
        <v/>
      </c>
      <c r="P39" s="101" t="str">
        <f t="shared" si="2"/>
        <v/>
      </c>
      <c r="Q39" s="97" t="str">
        <f>IF(A39="","",IF(D39=1,IFERROR(IF(N39="Impacto",(VLOOKUP(A39,'Mapa inherente'!$A$10:$M$15,13,FALSE)-(VLOOKUP(A39,'Mapa inherente'!$A$10:$M$15,13,FALSE)*M39)),IF(N39="Probabilidad",VLOOKUP(A39,'Mapa inherente'!$A$10:$M$15,13,FALSE),"")),""),
                   IFERROR(IF(N39="Impacto",(Q38-(Q38)*M39),Q38),"")))</f>
        <v/>
      </c>
      <c r="R39" s="101" t="str">
        <f t="shared" si="3"/>
        <v/>
      </c>
      <c r="S39" s="101" t="str">
        <f t="shared" si="4"/>
        <v/>
      </c>
      <c r="T39" s="117"/>
    </row>
  </sheetData>
  <mergeCells count="21">
    <mergeCell ref="Q8:Q9"/>
    <mergeCell ref="S8:S9"/>
    <mergeCell ref="T8:T9"/>
    <mergeCell ref="S1:T2"/>
    <mergeCell ref="B7:B9"/>
    <mergeCell ref="A7:A9"/>
    <mergeCell ref="O8:O9"/>
    <mergeCell ref="A1:A2"/>
    <mergeCell ref="C7:C9"/>
    <mergeCell ref="P8:P9"/>
    <mergeCell ref="D8:D9"/>
    <mergeCell ref="E8:E9"/>
    <mergeCell ref="H8:M8"/>
    <mergeCell ref="N8:N9"/>
    <mergeCell ref="G8:G9"/>
    <mergeCell ref="D7:N7"/>
    <mergeCell ref="B1:R1"/>
    <mergeCell ref="B2:R2"/>
    <mergeCell ref="F8:F9"/>
    <mergeCell ref="O7:T7"/>
    <mergeCell ref="R8:R9"/>
  </mergeCells>
  <conditionalFormatting sqref="C10:C39">
    <cfRule type="cellIs" dxfId="21" priority="1" operator="equal">
      <formula>"Extremo"</formula>
    </cfRule>
    <cfRule type="cellIs" dxfId="20" priority="2" operator="equal">
      <formula>"Bajo"</formula>
    </cfRule>
    <cfRule type="cellIs" dxfId="19" priority="3" operator="equal">
      <formula>"Alto"</formula>
    </cfRule>
    <cfRule type="cellIs" dxfId="18" priority="4" operator="equal">
      <formula>"Moderado"</formula>
    </cfRule>
  </conditionalFormatting>
  <conditionalFormatting sqref="P10:P39">
    <cfRule type="cellIs" dxfId="17" priority="18" operator="equal">
      <formula>"Muy Alta"</formula>
    </cfRule>
    <cfRule type="cellIs" dxfId="16" priority="19" operator="equal">
      <formula>"Alta"</formula>
    </cfRule>
    <cfRule type="cellIs" dxfId="15" priority="20" operator="equal">
      <formula>"Media"</formula>
    </cfRule>
    <cfRule type="cellIs" dxfId="14" priority="21" operator="equal">
      <formula>"Baja"</formula>
    </cfRule>
    <cfRule type="cellIs" dxfId="13" priority="22" operator="equal">
      <formula>"Muy Baja"</formula>
    </cfRule>
  </conditionalFormatting>
  <conditionalFormatting sqref="R10:R39">
    <cfRule type="cellIs" dxfId="12" priority="13" operator="equal">
      <formula>"Catastrófico"</formula>
    </cfRule>
    <cfRule type="cellIs" dxfId="11" priority="14" operator="equal">
      <formula>"Mayor"</formula>
    </cfRule>
    <cfRule type="cellIs" dxfId="10" priority="15" operator="equal">
      <formula>"Moderado"</formula>
    </cfRule>
    <cfRule type="cellIs" dxfId="9" priority="16" operator="equal">
      <formula>"Menor"</formula>
    </cfRule>
    <cfRule type="cellIs" dxfId="8" priority="17" operator="equal">
      <formula>"Leve"</formula>
    </cfRule>
  </conditionalFormatting>
  <conditionalFormatting sqref="S10:S39">
    <cfRule type="cellIs" dxfId="7" priority="9" operator="equal">
      <formula>"Extremo"</formula>
    </cfRule>
    <cfRule type="cellIs" dxfId="6" priority="10" operator="equal">
      <formula>"Alto"</formula>
    </cfRule>
    <cfRule type="cellIs" dxfId="5" priority="11" operator="equal">
      <formula>"Moderado"</formula>
    </cfRule>
    <cfRule type="cellIs" dxfId="4" priority="12" operator="equal">
      <formula>"Bajo"</formula>
    </cfRule>
  </conditionalFormatting>
  <pageMargins left="0.7" right="0.7" top="0.75" bottom="0.75" header="0.3" footer="0.3"/>
  <pageSetup scale="49" orientation="portrait" r:id="rId1"/>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C7508B24-CD88-49E6-B8DE-3DFB494B59A6}">
          <x14:formula1>
            <xm:f>'Tabla Valoración controles'!$D$8:$D$10</xm:f>
          </x14:formula1>
          <xm:sqref>H10:H39</xm:sqref>
        </x14:dataValidation>
        <x14:dataValidation type="list" allowBlank="1" showInputMessage="1" showErrorMessage="1" xr:uid="{95B89EE9-26BC-4FE6-9CB3-C1C9457F38C1}">
          <x14:formula1>
            <xm:f>'Tabla Valoración controles'!$D$11:$D$12</xm:f>
          </x14:formula1>
          <xm:sqref>I10:I39</xm:sqref>
        </x14:dataValidation>
        <x14:dataValidation type="list" allowBlank="1" showInputMessage="1" showErrorMessage="1" xr:uid="{B46C9476-E060-4610-B6B5-5CFDDD316F48}">
          <x14:formula1>
            <xm:f>'Tabla Valoración controles'!$D$13:$D$14</xm:f>
          </x14:formula1>
          <xm:sqref>J10:J39</xm:sqref>
        </x14:dataValidation>
        <x14:dataValidation type="list" allowBlank="1" showInputMessage="1" showErrorMessage="1" xr:uid="{0E9DE717-34C5-498F-8EE1-7A03A88E957E}">
          <x14:formula1>
            <xm:f>'Tabla Valoración controles'!$D$15:$D$16</xm:f>
          </x14:formula1>
          <xm:sqref>K10:K39</xm:sqref>
        </x14:dataValidation>
        <x14:dataValidation type="list" allowBlank="1" showInputMessage="1" showErrorMessage="1" xr:uid="{34A32CB4-55F0-4958-B373-03F950F70759}">
          <x14:formula1>
            <xm:f>'Tabla Valoración controles'!$D$17:$D$18</xm:f>
          </x14:formula1>
          <xm:sqref>L10:M39</xm:sqref>
        </x14:dataValidation>
        <x14:dataValidation type="list" allowBlank="1" showInputMessage="1" showErrorMessage="1" xr:uid="{B824B030-A76E-4A9C-9251-8BC0F37AE6A7}">
          <x14:formula1>
            <xm:f>'Opciones Tratamiento'!$B$2:$B$5</xm:f>
          </x14:formula1>
          <xm:sqref>T10:T39</xm:sqref>
        </x14:dataValidation>
        <x14:dataValidation type="list" allowBlank="1" showInputMessage="1" showErrorMessage="1" xr:uid="{491068B7-FCA3-4F10-97B2-EF9B7D80A140}">
          <x14:formula1>
            <xm:f>Hoja2!$F$4:$F$10</xm:f>
          </x14:formula1>
          <xm:sqref>F10:F39</xm:sqref>
        </x14:dataValidation>
        <x14:dataValidation type="list" allowBlank="1" showInputMessage="1" showErrorMessage="1" xr:uid="{4AFF7286-D39A-46F6-8050-2AF022E96EAF}">
          <x14:formula1>
            <xm:f>'Mapa inherente'!$A$10:$A$15</xm:f>
          </x14:formula1>
          <xm:sqref>A10:A39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D73E0-5965-41B7-9F01-7DDD9980C76E}">
  <dimension ref="F4:F10"/>
  <sheetViews>
    <sheetView workbookViewId="0">
      <selection activeCell="G9" sqref="G9"/>
    </sheetView>
  </sheetViews>
  <sheetFormatPr baseColWidth="10" defaultRowHeight="14.5" x14ac:dyDescent="0.35"/>
  <cols>
    <col min="6" max="6" width="12" bestFit="1" customWidth="1"/>
  </cols>
  <sheetData>
    <row r="4" spans="6:6" x14ac:dyDescent="0.35">
      <c r="F4" t="s">
        <v>211</v>
      </c>
    </row>
    <row r="5" spans="6:6" x14ac:dyDescent="0.35">
      <c r="F5" t="s">
        <v>212</v>
      </c>
    </row>
    <row r="6" spans="6:6" x14ac:dyDescent="0.35">
      <c r="F6" t="s">
        <v>213</v>
      </c>
    </row>
    <row r="7" spans="6:6" x14ac:dyDescent="0.35">
      <c r="F7" t="s">
        <v>216</v>
      </c>
    </row>
    <row r="8" spans="6:6" x14ac:dyDescent="0.35">
      <c r="F8" t="s">
        <v>217</v>
      </c>
    </row>
    <row r="9" spans="6:6" x14ac:dyDescent="0.35">
      <c r="F9" t="s">
        <v>214</v>
      </c>
    </row>
    <row r="10" spans="6:6" x14ac:dyDescent="0.35">
      <c r="F10" t="s">
        <v>215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rgb="FF00B0F0"/>
  </sheetPr>
  <dimension ref="A2:AH59"/>
  <sheetViews>
    <sheetView zoomScale="90" zoomScaleNormal="90" workbookViewId="0">
      <selection activeCell="C2" sqref="C2:E2"/>
    </sheetView>
  </sheetViews>
  <sheetFormatPr baseColWidth="10" defaultRowHeight="14.5" x14ac:dyDescent="0.35"/>
  <cols>
    <col min="2" max="2" width="24.1796875" customWidth="1"/>
    <col min="3" max="3" width="70.1796875" customWidth="1"/>
    <col min="4" max="4" width="29.81640625" customWidth="1"/>
  </cols>
  <sheetData>
    <row r="2" spans="1:34" s="38" customFormat="1" ht="42.75" customHeight="1" x14ac:dyDescent="0.35">
      <c r="B2" s="132"/>
      <c r="C2" s="78" t="s">
        <v>191</v>
      </c>
      <c r="D2" s="354" t="s">
        <v>231</v>
      </c>
    </row>
    <row r="3" spans="1:34" s="38" customFormat="1" ht="42.75" customHeight="1" x14ac:dyDescent="0.35">
      <c r="B3" s="133"/>
      <c r="C3" s="129" t="s">
        <v>192</v>
      </c>
      <c r="D3" s="355"/>
    </row>
    <row r="4" spans="1:34" s="38" customFormat="1" ht="18" customHeight="1" x14ac:dyDescent="0.35">
      <c r="B4" s="79"/>
      <c r="C4" s="80"/>
      <c r="D4" s="80"/>
      <c r="E4" s="81"/>
    </row>
    <row r="5" spans="1:34" ht="22.5" x14ac:dyDescent="0.35">
      <c r="A5" s="38"/>
      <c r="B5" s="353" t="s">
        <v>46</v>
      </c>
      <c r="C5" s="353"/>
      <c r="D5" s="353"/>
      <c r="E5" s="38"/>
      <c r="F5" s="38"/>
      <c r="G5" s="38"/>
      <c r="H5" s="38"/>
      <c r="I5" s="38"/>
      <c r="J5" s="38"/>
      <c r="K5" s="38"/>
      <c r="L5" s="38"/>
      <c r="M5" s="38"/>
      <c r="N5" s="38"/>
      <c r="O5" s="38"/>
      <c r="P5" s="38"/>
      <c r="Q5" s="38"/>
      <c r="R5" s="38"/>
      <c r="S5" s="38"/>
      <c r="T5" s="38"/>
      <c r="U5" s="38"/>
      <c r="V5" s="38"/>
      <c r="W5" s="38"/>
      <c r="X5" s="38"/>
      <c r="Y5" s="38"/>
      <c r="Z5" s="38"/>
      <c r="AA5" s="38"/>
      <c r="AB5" s="38"/>
    </row>
    <row r="6" spans="1:34" x14ac:dyDescent="0.3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row>
    <row r="7" spans="1:34" ht="25" x14ac:dyDescent="0.35">
      <c r="A7" s="38"/>
      <c r="B7" s="9"/>
      <c r="C7" s="10" t="s">
        <v>43</v>
      </c>
      <c r="D7" s="10" t="s">
        <v>4</v>
      </c>
      <c r="E7" s="38"/>
      <c r="F7" s="38"/>
      <c r="G7" s="38"/>
      <c r="H7" s="38"/>
      <c r="I7" s="38"/>
      <c r="J7" s="38"/>
      <c r="K7" s="38"/>
      <c r="L7" s="38"/>
      <c r="M7" s="38"/>
      <c r="N7" s="38"/>
      <c r="O7" s="38"/>
      <c r="P7" s="38"/>
      <c r="Q7" s="38"/>
      <c r="R7" s="38"/>
      <c r="S7" s="38"/>
      <c r="T7" s="38"/>
      <c r="U7" s="38"/>
      <c r="V7" s="38"/>
      <c r="W7" s="38"/>
      <c r="X7" s="38"/>
      <c r="Y7" s="38"/>
      <c r="Z7" s="38"/>
      <c r="AA7" s="38"/>
      <c r="AB7" s="38"/>
    </row>
    <row r="8" spans="1:34" ht="50" x14ac:dyDescent="0.35">
      <c r="A8" s="38"/>
      <c r="B8" s="11" t="s">
        <v>42</v>
      </c>
      <c r="C8" s="12" t="s">
        <v>92</v>
      </c>
      <c r="D8" s="13">
        <v>0.2</v>
      </c>
      <c r="E8" s="38"/>
      <c r="F8" s="38"/>
      <c r="G8" s="38"/>
      <c r="H8" s="38"/>
      <c r="I8" s="38"/>
      <c r="J8" s="38"/>
      <c r="K8" s="38"/>
      <c r="L8" s="38"/>
      <c r="M8" s="38"/>
      <c r="N8" s="38"/>
      <c r="O8" s="38"/>
      <c r="P8" s="38"/>
      <c r="Q8" s="38"/>
      <c r="R8" s="38"/>
      <c r="S8" s="38"/>
      <c r="T8" s="38"/>
      <c r="U8" s="38"/>
      <c r="V8" s="38"/>
      <c r="W8" s="38"/>
      <c r="X8" s="38"/>
      <c r="Y8" s="38"/>
      <c r="Z8" s="38"/>
      <c r="AA8" s="38"/>
      <c r="AB8" s="38"/>
    </row>
    <row r="9" spans="1:34" ht="50" x14ac:dyDescent="0.35">
      <c r="A9" s="38"/>
      <c r="B9" s="14" t="s">
        <v>44</v>
      </c>
      <c r="C9" s="15" t="s">
        <v>93</v>
      </c>
      <c r="D9" s="16">
        <v>0.4</v>
      </c>
      <c r="E9" s="38"/>
      <c r="F9" s="38"/>
      <c r="G9" s="38"/>
      <c r="H9" s="38"/>
      <c r="I9" s="38"/>
      <c r="J9" s="38"/>
      <c r="K9" s="38"/>
      <c r="L9" s="38"/>
      <c r="M9" s="38"/>
      <c r="N9" s="38"/>
      <c r="O9" s="38"/>
      <c r="P9" s="38"/>
      <c r="Q9" s="38"/>
      <c r="R9" s="38"/>
      <c r="S9" s="38"/>
      <c r="T9" s="38"/>
      <c r="U9" s="38"/>
      <c r="V9" s="38"/>
      <c r="W9" s="38"/>
      <c r="X9" s="38"/>
      <c r="Y9" s="38"/>
      <c r="Z9" s="38"/>
      <c r="AA9" s="38"/>
      <c r="AB9" s="38"/>
    </row>
    <row r="10" spans="1:34" ht="50" x14ac:dyDescent="0.35">
      <c r="A10" s="38"/>
      <c r="B10" s="17" t="s">
        <v>97</v>
      </c>
      <c r="C10" s="15" t="s">
        <v>94</v>
      </c>
      <c r="D10" s="16">
        <v>0.6</v>
      </c>
      <c r="E10" s="38"/>
      <c r="F10" s="38"/>
      <c r="G10" s="38"/>
      <c r="H10" s="38"/>
      <c r="I10" s="38"/>
      <c r="J10" s="38"/>
      <c r="K10" s="38"/>
      <c r="L10" s="38"/>
      <c r="M10" s="38"/>
      <c r="N10" s="38"/>
      <c r="O10" s="38"/>
      <c r="P10" s="38"/>
      <c r="Q10" s="38"/>
      <c r="R10" s="38"/>
      <c r="S10" s="38"/>
      <c r="T10" s="38"/>
      <c r="U10" s="38"/>
      <c r="V10" s="38"/>
      <c r="W10" s="38"/>
      <c r="X10" s="38"/>
      <c r="Y10" s="38"/>
      <c r="Z10" s="38"/>
      <c r="AA10" s="38"/>
      <c r="AB10" s="38"/>
    </row>
    <row r="11" spans="1:34" ht="75" x14ac:dyDescent="0.35">
      <c r="A11" s="38"/>
      <c r="B11" s="18" t="s">
        <v>6</v>
      </c>
      <c r="C11" s="15" t="s">
        <v>95</v>
      </c>
      <c r="D11" s="16">
        <v>0.8</v>
      </c>
      <c r="E11" s="38"/>
      <c r="F11" s="38"/>
      <c r="G11" s="38"/>
      <c r="H11" s="38"/>
      <c r="I11" s="38"/>
      <c r="J11" s="38"/>
      <c r="K11" s="38"/>
      <c r="L11" s="38"/>
      <c r="M11" s="38"/>
      <c r="N11" s="38"/>
      <c r="O11" s="38"/>
      <c r="P11" s="38"/>
      <c r="Q11" s="38"/>
      <c r="R11" s="38"/>
      <c r="S11" s="38"/>
      <c r="T11" s="38"/>
      <c r="U11" s="38"/>
      <c r="V11" s="38"/>
      <c r="W11" s="38"/>
      <c r="X11" s="38"/>
      <c r="Y11" s="38"/>
      <c r="Z11" s="38"/>
      <c r="AA11" s="38"/>
      <c r="AB11" s="38"/>
    </row>
    <row r="12" spans="1:34" ht="50" x14ac:dyDescent="0.35">
      <c r="A12" s="38"/>
      <c r="B12" s="19" t="s">
        <v>45</v>
      </c>
      <c r="C12" s="15" t="s">
        <v>96</v>
      </c>
      <c r="D12" s="16">
        <v>1</v>
      </c>
      <c r="E12" s="38"/>
      <c r="F12" s="38"/>
      <c r="G12" s="38"/>
      <c r="H12" s="38"/>
      <c r="I12" s="38"/>
      <c r="J12" s="38"/>
      <c r="K12" s="38"/>
      <c r="L12" s="38"/>
      <c r="M12" s="38"/>
      <c r="N12" s="38"/>
      <c r="O12" s="38"/>
      <c r="P12" s="38"/>
      <c r="Q12" s="38"/>
      <c r="R12" s="38"/>
      <c r="S12" s="38"/>
      <c r="T12" s="38"/>
      <c r="U12" s="38"/>
      <c r="V12" s="38"/>
      <c r="W12" s="38"/>
      <c r="X12" s="38"/>
      <c r="Y12" s="38"/>
      <c r="Z12" s="38"/>
      <c r="AA12" s="38"/>
      <c r="AB12" s="38"/>
    </row>
    <row r="13" spans="1:34" x14ac:dyDescent="0.35">
      <c r="A13" s="38"/>
      <c r="B13" s="62"/>
      <c r="C13" s="62"/>
      <c r="D13" s="62"/>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row>
    <row r="14" spans="1:34" x14ac:dyDescent="0.35">
      <c r="A14" s="38"/>
      <c r="B14" s="63"/>
      <c r="C14" s="62"/>
      <c r="D14" s="62"/>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row>
    <row r="15" spans="1:34" x14ac:dyDescent="0.35">
      <c r="A15" s="38"/>
      <c r="B15" s="62"/>
      <c r="C15" s="62"/>
      <c r="D15" s="62"/>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row>
    <row r="16" spans="1:34" x14ac:dyDescent="0.35">
      <c r="A16" s="38"/>
      <c r="B16" s="62"/>
      <c r="C16" s="62"/>
      <c r="D16" s="62"/>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row>
    <row r="17" spans="1:34" x14ac:dyDescent="0.35">
      <c r="A17" s="38"/>
      <c r="B17" s="62"/>
      <c r="C17" s="62"/>
      <c r="D17" s="62"/>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row>
    <row r="18" spans="1:34" x14ac:dyDescent="0.35">
      <c r="A18" s="38"/>
      <c r="B18" s="62"/>
      <c r="C18" s="62"/>
      <c r="D18" s="62"/>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row>
    <row r="19" spans="1:34" x14ac:dyDescent="0.35">
      <c r="A19" s="38"/>
      <c r="B19" s="62"/>
      <c r="C19" s="62"/>
      <c r="D19" s="62"/>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row>
    <row r="20" spans="1:34" x14ac:dyDescent="0.35">
      <c r="A20" s="38"/>
      <c r="B20" s="62"/>
      <c r="C20" s="62"/>
      <c r="D20" s="62"/>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row>
    <row r="21" spans="1:34" x14ac:dyDescent="0.35">
      <c r="A21" s="38"/>
      <c r="B21" s="62"/>
      <c r="C21" s="62"/>
      <c r="D21" s="62"/>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row>
    <row r="22" spans="1:34" x14ac:dyDescent="0.35">
      <c r="A22" s="38"/>
      <c r="B22" s="62"/>
      <c r="C22" s="62"/>
      <c r="D22" s="62"/>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row>
    <row r="23" spans="1:34" x14ac:dyDescent="0.35">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row>
    <row r="24" spans="1:34" x14ac:dyDescent="0.35">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row>
    <row r="25" spans="1:34" x14ac:dyDescent="0.35">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row>
    <row r="26" spans="1:34" x14ac:dyDescent="0.35">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row>
    <row r="27" spans="1:34" x14ac:dyDescent="0.35">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row>
    <row r="28" spans="1:34" x14ac:dyDescent="0.35">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row>
    <row r="29" spans="1:34" x14ac:dyDescent="0.35">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row>
    <row r="30" spans="1:34" x14ac:dyDescent="0.35">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row>
    <row r="31" spans="1:34" x14ac:dyDescent="0.35">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row>
    <row r="32" spans="1:34" x14ac:dyDescent="0.35">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row>
    <row r="33" spans="1:34" x14ac:dyDescent="0.35">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row>
    <row r="34" spans="1:34" x14ac:dyDescent="0.35">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row>
    <row r="35" spans="1:34" x14ac:dyDescent="0.35">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row>
    <row r="36" spans="1:34" x14ac:dyDescent="0.35">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row>
    <row r="37" spans="1:34" x14ac:dyDescent="0.35">
      <c r="A37" s="38"/>
      <c r="E37" s="38"/>
      <c r="F37" s="38"/>
      <c r="G37" s="38"/>
      <c r="H37" s="38"/>
      <c r="I37" s="38"/>
      <c r="J37" s="38"/>
      <c r="K37" s="38"/>
      <c r="L37" s="38"/>
      <c r="M37" s="38"/>
      <c r="N37" s="38"/>
      <c r="O37" s="38"/>
      <c r="P37" s="38"/>
      <c r="Q37" s="38"/>
      <c r="R37" s="38"/>
      <c r="S37" s="38"/>
      <c r="T37" s="38"/>
      <c r="U37" s="38"/>
      <c r="V37" s="38"/>
      <c r="W37" s="38"/>
      <c r="X37" s="38"/>
      <c r="Y37" s="38"/>
      <c r="Z37" s="38"/>
      <c r="AA37" s="38"/>
      <c r="AB37" s="38"/>
    </row>
    <row r="38" spans="1:34" x14ac:dyDescent="0.35">
      <c r="A38" s="38"/>
      <c r="E38" s="38"/>
      <c r="F38" s="38"/>
      <c r="G38" s="38"/>
      <c r="H38" s="38"/>
      <c r="I38" s="38"/>
      <c r="J38" s="38"/>
      <c r="K38" s="38"/>
      <c r="L38" s="38"/>
      <c r="M38" s="38"/>
      <c r="N38" s="38"/>
      <c r="O38" s="38"/>
      <c r="P38" s="38"/>
      <c r="Q38" s="38"/>
      <c r="R38" s="38"/>
      <c r="S38" s="38"/>
      <c r="T38" s="38"/>
      <c r="U38" s="38"/>
      <c r="V38" s="38"/>
      <c r="W38" s="38"/>
      <c r="X38" s="38"/>
      <c r="Y38" s="38"/>
      <c r="Z38" s="38"/>
      <c r="AA38" s="38"/>
      <c r="AB38" s="38"/>
    </row>
    <row r="39" spans="1:34" x14ac:dyDescent="0.35">
      <c r="A39" s="38"/>
    </row>
    <row r="40" spans="1:34" x14ac:dyDescent="0.35">
      <c r="A40" s="38"/>
    </row>
    <row r="41" spans="1:34" x14ac:dyDescent="0.35">
      <c r="A41" s="38"/>
    </row>
    <row r="42" spans="1:34" x14ac:dyDescent="0.35">
      <c r="A42" s="38"/>
    </row>
    <row r="43" spans="1:34" x14ac:dyDescent="0.35">
      <c r="A43" s="38"/>
    </row>
    <row r="44" spans="1:34" x14ac:dyDescent="0.35">
      <c r="A44" s="38"/>
    </row>
    <row r="45" spans="1:34" x14ac:dyDescent="0.35">
      <c r="A45" s="38"/>
    </row>
    <row r="46" spans="1:34" x14ac:dyDescent="0.35">
      <c r="A46" s="38"/>
    </row>
    <row r="47" spans="1:34" x14ac:dyDescent="0.35">
      <c r="A47" s="38"/>
    </row>
    <row r="48" spans="1:34" x14ac:dyDescent="0.35">
      <c r="A48" s="38"/>
    </row>
    <row r="49" spans="1:1" x14ac:dyDescent="0.35">
      <c r="A49" s="38"/>
    </row>
    <row r="50" spans="1:1" x14ac:dyDescent="0.35">
      <c r="A50" s="38"/>
    </row>
    <row r="51" spans="1:1" x14ac:dyDescent="0.35">
      <c r="A51" s="38"/>
    </row>
    <row r="52" spans="1:1" x14ac:dyDescent="0.35">
      <c r="A52" s="38"/>
    </row>
    <row r="53" spans="1:1" x14ac:dyDescent="0.35">
      <c r="A53" s="38"/>
    </row>
    <row r="54" spans="1:1" x14ac:dyDescent="0.35">
      <c r="A54" s="38"/>
    </row>
    <row r="55" spans="1:1" x14ac:dyDescent="0.35">
      <c r="A55" s="38"/>
    </row>
    <row r="56" spans="1:1" x14ac:dyDescent="0.35">
      <c r="A56" s="38"/>
    </row>
    <row r="57" spans="1:1" x14ac:dyDescent="0.35">
      <c r="A57" s="38"/>
    </row>
    <row r="58" spans="1:1" x14ac:dyDescent="0.35">
      <c r="A58" s="38"/>
    </row>
    <row r="59" spans="1:1" x14ac:dyDescent="0.35">
      <c r="A59" s="38"/>
    </row>
  </sheetData>
  <mergeCells count="3">
    <mergeCell ref="B5:D5"/>
    <mergeCell ref="B2:B3"/>
    <mergeCell ref="D2:D3"/>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6" tint="-0.249977111117893"/>
  </sheetPr>
  <dimension ref="A2:U236"/>
  <sheetViews>
    <sheetView zoomScale="60" zoomScaleNormal="60" workbookViewId="0">
      <selection activeCell="C2" sqref="C2:E2"/>
    </sheetView>
  </sheetViews>
  <sheetFormatPr baseColWidth="10" defaultRowHeight="14.5" x14ac:dyDescent="0.35"/>
  <cols>
    <col min="2" max="2" width="40.453125" customWidth="1"/>
    <col min="3" max="3" width="66.26953125" customWidth="1"/>
    <col min="4" max="4" width="94" customWidth="1"/>
    <col min="5" max="5" width="45" customWidth="1"/>
  </cols>
  <sheetData>
    <row r="2" spans="1:21" s="38" customFormat="1" ht="42.75" customHeight="1" x14ac:dyDescent="0.35">
      <c r="B2" s="362"/>
      <c r="C2" s="358" t="s">
        <v>191</v>
      </c>
      <c r="D2" s="358"/>
      <c r="E2" s="363" t="s">
        <v>227</v>
      </c>
    </row>
    <row r="3" spans="1:21" s="38" customFormat="1" ht="42.75" customHeight="1" x14ac:dyDescent="0.35">
      <c r="B3" s="362"/>
      <c r="C3" s="359" t="s">
        <v>192</v>
      </c>
      <c r="D3" s="359"/>
      <c r="E3" s="364"/>
    </row>
    <row r="4" spans="1:21" s="38" customFormat="1" ht="18" customHeight="1" x14ac:dyDescent="0.35">
      <c r="B4" s="79"/>
      <c r="C4" s="80"/>
      <c r="D4" s="80"/>
      <c r="E4" s="81"/>
    </row>
    <row r="5" spans="1:21" ht="32.5" x14ac:dyDescent="0.35">
      <c r="A5" s="38"/>
      <c r="B5" s="361" t="s">
        <v>54</v>
      </c>
      <c r="C5" s="361"/>
      <c r="D5" s="361"/>
      <c r="E5" s="38"/>
      <c r="F5" s="38"/>
      <c r="G5" s="38"/>
      <c r="H5" s="38"/>
      <c r="I5" s="38"/>
      <c r="J5" s="38"/>
      <c r="K5" s="38"/>
      <c r="L5" s="38"/>
      <c r="M5" s="38"/>
      <c r="N5" s="38"/>
      <c r="O5" s="38"/>
      <c r="P5" s="38"/>
      <c r="Q5" s="38"/>
      <c r="R5" s="38"/>
      <c r="S5" s="38"/>
      <c r="T5" s="38"/>
      <c r="U5" s="38"/>
    </row>
    <row r="6" spans="1:21" x14ac:dyDescent="0.35">
      <c r="A6" s="38"/>
      <c r="B6" s="38"/>
      <c r="C6" s="38"/>
      <c r="D6" s="38"/>
      <c r="E6" s="38"/>
      <c r="F6" s="38"/>
      <c r="G6" s="38"/>
      <c r="H6" s="38"/>
      <c r="I6" s="38"/>
      <c r="J6" s="38"/>
      <c r="K6" s="38"/>
      <c r="L6" s="38"/>
      <c r="M6" s="38"/>
      <c r="N6" s="38"/>
      <c r="O6" s="38"/>
      <c r="P6" s="38"/>
      <c r="Q6" s="38"/>
      <c r="R6" s="38"/>
      <c r="S6" s="38"/>
      <c r="T6" s="38"/>
      <c r="U6" s="38"/>
    </row>
    <row r="7" spans="1:21" ht="61" x14ac:dyDescent="0.35">
      <c r="A7" s="38"/>
      <c r="B7" s="59"/>
      <c r="C7" s="30" t="s">
        <v>47</v>
      </c>
      <c r="D7" s="360" t="s">
        <v>48</v>
      </c>
      <c r="E7" s="360"/>
      <c r="F7" s="38"/>
      <c r="G7" s="38"/>
      <c r="H7" s="38"/>
      <c r="I7" s="38"/>
      <c r="J7" s="38"/>
      <c r="K7" s="38"/>
      <c r="L7" s="38"/>
      <c r="M7" s="38"/>
      <c r="N7" s="38"/>
      <c r="O7" s="38"/>
      <c r="P7" s="38"/>
      <c r="Q7" s="38"/>
      <c r="R7" s="38"/>
      <c r="S7" s="38"/>
      <c r="T7" s="38"/>
      <c r="U7" s="38"/>
    </row>
    <row r="8" spans="1:21" ht="56.25" customHeight="1" x14ac:dyDescent="0.35">
      <c r="A8" s="58" t="s">
        <v>74</v>
      </c>
      <c r="B8" s="31" t="s">
        <v>91</v>
      </c>
      <c r="C8" s="36" t="s">
        <v>143</v>
      </c>
      <c r="D8" s="356" t="s">
        <v>87</v>
      </c>
      <c r="E8" s="357"/>
      <c r="F8" s="38"/>
      <c r="G8" s="38"/>
      <c r="H8" s="38"/>
      <c r="I8" s="38"/>
      <c r="J8" s="38"/>
      <c r="K8" s="38"/>
      <c r="L8" s="38"/>
      <c r="M8" s="38"/>
      <c r="N8" s="38"/>
      <c r="O8" s="38"/>
      <c r="P8" s="38"/>
      <c r="Q8" s="38"/>
      <c r="R8" s="38"/>
      <c r="S8" s="38"/>
      <c r="T8" s="38"/>
      <c r="U8" s="38"/>
    </row>
    <row r="9" spans="1:21" ht="67.5" customHeight="1" x14ac:dyDescent="0.35">
      <c r="A9" s="58" t="s">
        <v>75</v>
      </c>
      <c r="B9" s="32" t="s">
        <v>50</v>
      </c>
      <c r="C9" s="37" t="s">
        <v>83</v>
      </c>
      <c r="D9" s="356" t="s">
        <v>88</v>
      </c>
      <c r="E9" s="357"/>
      <c r="F9" s="38"/>
      <c r="G9" s="38"/>
      <c r="H9" s="38"/>
      <c r="I9" s="38"/>
      <c r="J9" s="38"/>
      <c r="K9" s="38"/>
      <c r="L9" s="38"/>
      <c r="M9" s="38"/>
      <c r="N9" s="38"/>
      <c r="O9" s="38"/>
      <c r="P9" s="38"/>
      <c r="Q9" s="38"/>
      <c r="R9" s="38"/>
      <c r="S9" s="38"/>
      <c r="T9" s="38"/>
      <c r="U9" s="38"/>
    </row>
    <row r="10" spans="1:21" ht="67.5" customHeight="1" x14ac:dyDescent="0.35">
      <c r="A10" s="58" t="s">
        <v>72</v>
      </c>
      <c r="B10" s="33" t="s">
        <v>51</v>
      </c>
      <c r="C10" s="37" t="s">
        <v>84</v>
      </c>
      <c r="D10" s="356" t="s">
        <v>90</v>
      </c>
      <c r="E10" s="357"/>
      <c r="F10" s="38"/>
      <c r="G10" s="38"/>
      <c r="H10" s="38"/>
      <c r="I10" s="38"/>
      <c r="J10" s="38"/>
      <c r="K10" s="38"/>
      <c r="L10" s="38"/>
      <c r="M10" s="38"/>
      <c r="N10" s="38"/>
      <c r="O10" s="38"/>
      <c r="P10" s="38"/>
      <c r="Q10" s="38"/>
      <c r="R10" s="38"/>
      <c r="S10" s="38"/>
      <c r="T10" s="38"/>
      <c r="U10" s="38"/>
    </row>
    <row r="11" spans="1:21" ht="101.25" customHeight="1" x14ac:dyDescent="0.35">
      <c r="A11" s="58" t="s">
        <v>7</v>
      </c>
      <c r="B11" s="34" t="s">
        <v>52</v>
      </c>
      <c r="C11" s="37" t="s">
        <v>85</v>
      </c>
      <c r="D11" s="356" t="s">
        <v>89</v>
      </c>
      <c r="E11" s="357"/>
      <c r="F11" s="38"/>
      <c r="G11" s="38"/>
      <c r="H11" s="38"/>
      <c r="I11" s="38"/>
      <c r="J11" s="38"/>
      <c r="K11" s="38"/>
      <c r="L11" s="38"/>
      <c r="M11" s="38"/>
      <c r="N11" s="38"/>
      <c r="O11" s="38"/>
      <c r="P11" s="38"/>
      <c r="Q11" s="38"/>
      <c r="R11" s="38"/>
      <c r="S11" s="38"/>
      <c r="T11" s="38"/>
      <c r="U11" s="38"/>
    </row>
    <row r="12" spans="1:21" ht="67.5" customHeight="1" x14ac:dyDescent="0.35">
      <c r="A12" s="58" t="s">
        <v>76</v>
      </c>
      <c r="B12" s="35" t="s">
        <v>53</v>
      </c>
      <c r="C12" s="37" t="s">
        <v>86</v>
      </c>
      <c r="D12" s="356" t="s">
        <v>108</v>
      </c>
      <c r="E12" s="357"/>
      <c r="F12" s="38"/>
      <c r="G12" s="38"/>
      <c r="H12" s="38"/>
      <c r="I12" s="38"/>
      <c r="J12" s="38"/>
      <c r="K12" s="38"/>
      <c r="L12" s="38"/>
      <c r="M12" s="38"/>
      <c r="N12" s="38"/>
      <c r="O12" s="38"/>
      <c r="P12" s="38"/>
      <c r="Q12" s="38"/>
      <c r="R12" s="38"/>
      <c r="S12" s="38"/>
      <c r="T12" s="38"/>
      <c r="U12" s="38"/>
    </row>
    <row r="13" spans="1:21" ht="20" x14ac:dyDescent="0.35">
      <c r="A13" s="58"/>
      <c r="B13" s="58"/>
      <c r="C13" s="60"/>
      <c r="D13" s="60"/>
      <c r="E13" s="38"/>
      <c r="F13" s="38"/>
      <c r="G13" s="38"/>
      <c r="H13" s="38"/>
      <c r="I13" s="38"/>
      <c r="J13" s="38"/>
      <c r="K13" s="38"/>
      <c r="L13" s="38"/>
      <c r="M13" s="38"/>
      <c r="N13" s="38"/>
      <c r="O13" s="38"/>
      <c r="P13" s="38"/>
      <c r="Q13" s="38"/>
      <c r="R13" s="38"/>
      <c r="S13" s="38"/>
      <c r="T13" s="38"/>
      <c r="U13" s="38"/>
    </row>
    <row r="14" spans="1:21" x14ac:dyDescent="0.35">
      <c r="A14" s="58"/>
      <c r="B14" s="61"/>
      <c r="C14" s="61"/>
      <c r="D14" s="61"/>
      <c r="E14" s="38"/>
      <c r="F14" s="38"/>
      <c r="G14" s="38"/>
      <c r="H14" s="38"/>
      <c r="I14" s="38"/>
      <c r="J14" s="38"/>
      <c r="K14" s="38"/>
      <c r="L14" s="38"/>
      <c r="M14" s="38"/>
      <c r="N14" s="38"/>
      <c r="O14" s="38"/>
      <c r="P14" s="38"/>
      <c r="Q14" s="38"/>
      <c r="R14" s="38"/>
      <c r="S14" s="38"/>
      <c r="T14" s="38"/>
      <c r="U14" s="38"/>
    </row>
    <row r="15" spans="1:21" x14ac:dyDescent="0.35">
      <c r="A15" s="58"/>
      <c r="B15" s="58" t="s">
        <v>81</v>
      </c>
      <c r="C15" s="58" t="s">
        <v>131</v>
      </c>
      <c r="D15" s="58" t="s">
        <v>138</v>
      </c>
      <c r="E15" s="38"/>
      <c r="F15" s="38"/>
      <c r="G15" s="38"/>
      <c r="H15" s="38"/>
      <c r="I15" s="38"/>
      <c r="J15" s="38"/>
      <c r="K15" s="38"/>
      <c r="L15" s="38"/>
      <c r="M15" s="38"/>
      <c r="N15" s="38"/>
      <c r="O15" s="38"/>
      <c r="P15" s="38"/>
      <c r="Q15" s="38"/>
      <c r="R15" s="38"/>
      <c r="S15" s="38"/>
      <c r="T15" s="38"/>
      <c r="U15" s="38"/>
    </row>
    <row r="16" spans="1:21" x14ac:dyDescent="0.35">
      <c r="A16" s="58"/>
      <c r="B16" s="58" t="s">
        <v>79</v>
      </c>
      <c r="C16" s="58" t="s">
        <v>135</v>
      </c>
      <c r="D16" s="58" t="s">
        <v>139</v>
      </c>
      <c r="E16" s="38"/>
      <c r="F16" s="38"/>
      <c r="G16" s="38"/>
      <c r="H16" s="38"/>
      <c r="I16" s="38"/>
      <c r="J16" s="38"/>
      <c r="K16" s="38"/>
      <c r="L16" s="38"/>
      <c r="M16" s="38"/>
      <c r="N16" s="38"/>
      <c r="O16" s="38"/>
      <c r="P16" s="38"/>
      <c r="Q16" s="38"/>
      <c r="R16" s="38"/>
      <c r="S16" s="38"/>
      <c r="T16" s="38"/>
      <c r="U16" s="38"/>
    </row>
    <row r="17" spans="1:21" x14ac:dyDescent="0.35">
      <c r="A17" s="58"/>
      <c r="B17" s="58"/>
      <c r="C17" s="58" t="s">
        <v>134</v>
      </c>
      <c r="D17" s="58" t="s">
        <v>140</v>
      </c>
      <c r="E17" s="38"/>
      <c r="F17" s="38"/>
      <c r="G17" s="38"/>
      <c r="H17" s="38"/>
      <c r="I17" s="38"/>
      <c r="J17" s="38"/>
      <c r="K17" s="38"/>
      <c r="L17" s="38"/>
      <c r="M17" s="38"/>
      <c r="N17" s="38"/>
      <c r="O17" s="38"/>
      <c r="P17" s="38"/>
      <c r="Q17" s="38"/>
      <c r="R17" s="38"/>
      <c r="S17" s="38"/>
      <c r="T17" s="38"/>
      <c r="U17" s="38"/>
    </row>
    <row r="18" spans="1:21" x14ac:dyDescent="0.35">
      <c r="A18" s="58"/>
      <c r="B18" s="58"/>
      <c r="C18" s="58" t="s">
        <v>136</v>
      </c>
      <c r="D18" s="58" t="s">
        <v>141</v>
      </c>
      <c r="E18" s="38"/>
      <c r="F18" s="38"/>
      <c r="G18" s="38"/>
      <c r="H18" s="38"/>
      <c r="I18" s="38"/>
      <c r="J18" s="38"/>
      <c r="K18" s="38"/>
      <c r="L18" s="38"/>
      <c r="M18" s="38"/>
      <c r="N18" s="38"/>
      <c r="O18" s="38"/>
      <c r="P18" s="38"/>
      <c r="Q18" s="38"/>
      <c r="R18" s="38"/>
      <c r="S18" s="38"/>
      <c r="T18" s="38"/>
      <c r="U18" s="38"/>
    </row>
    <row r="19" spans="1:21" x14ac:dyDescent="0.35">
      <c r="A19" s="58"/>
      <c r="B19" s="58"/>
      <c r="C19" s="58" t="s">
        <v>137</v>
      </c>
      <c r="D19" s="58" t="s">
        <v>142</v>
      </c>
      <c r="E19" s="38"/>
      <c r="F19" s="38"/>
      <c r="G19" s="38"/>
      <c r="H19" s="38"/>
      <c r="I19" s="38"/>
      <c r="J19" s="38"/>
      <c r="K19" s="38"/>
      <c r="L19" s="38"/>
      <c r="M19" s="38"/>
      <c r="N19" s="38"/>
      <c r="O19" s="38"/>
      <c r="P19" s="38"/>
      <c r="Q19" s="38"/>
      <c r="R19" s="38"/>
      <c r="S19" s="38"/>
      <c r="T19" s="38"/>
      <c r="U19" s="38"/>
    </row>
    <row r="20" spans="1:21" x14ac:dyDescent="0.35">
      <c r="A20" s="58"/>
      <c r="B20" s="58"/>
      <c r="C20" s="58"/>
      <c r="D20" s="58"/>
      <c r="E20" s="38"/>
      <c r="F20" s="38"/>
      <c r="G20" s="38"/>
      <c r="H20" s="38"/>
      <c r="I20" s="38"/>
      <c r="J20" s="38"/>
      <c r="K20" s="38"/>
      <c r="L20" s="38"/>
      <c r="M20" s="38"/>
      <c r="N20" s="38"/>
      <c r="O20" s="38"/>
    </row>
    <row r="21" spans="1:21" x14ac:dyDescent="0.35">
      <c r="A21" s="58"/>
      <c r="B21" s="58"/>
      <c r="C21" s="58"/>
      <c r="D21" s="58"/>
      <c r="E21" s="38"/>
      <c r="F21" s="38"/>
      <c r="G21" s="38"/>
      <c r="H21" s="38"/>
      <c r="I21" s="38"/>
      <c r="J21" s="38"/>
      <c r="K21" s="38"/>
      <c r="L21" s="38"/>
      <c r="M21" s="38"/>
      <c r="N21" s="38"/>
      <c r="O21" s="38"/>
    </row>
    <row r="22" spans="1:21" x14ac:dyDescent="0.35">
      <c r="A22" s="58"/>
      <c r="B22" s="62"/>
      <c r="C22" s="62"/>
      <c r="D22" s="62"/>
      <c r="E22" s="38"/>
      <c r="F22" s="38"/>
      <c r="G22" s="38"/>
      <c r="H22" s="38"/>
      <c r="I22" s="38"/>
      <c r="J22" s="38"/>
      <c r="K22" s="38"/>
      <c r="L22" s="38"/>
      <c r="M22" s="38"/>
      <c r="N22" s="38"/>
      <c r="O22" s="38"/>
    </row>
    <row r="23" spans="1:21" x14ac:dyDescent="0.35">
      <c r="A23" s="58"/>
      <c r="B23" s="62"/>
      <c r="C23" s="62"/>
      <c r="D23" s="62"/>
      <c r="E23" s="38"/>
      <c r="F23" s="38"/>
      <c r="G23" s="38"/>
      <c r="H23" s="38"/>
      <c r="I23" s="38"/>
      <c r="J23" s="38"/>
      <c r="K23" s="38"/>
      <c r="L23" s="38"/>
      <c r="M23" s="38"/>
      <c r="N23" s="38"/>
      <c r="O23" s="38"/>
    </row>
    <row r="24" spans="1:21" x14ac:dyDescent="0.35">
      <c r="A24" s="58"/>
      <c r="B24" s="62"/>
      <c r="C24" s="62"/>
      <c r="D24" s="62"/>
      <c r="E24" s="38"/>
      <c r="F24" s="38"/>
      <c r="G24" s="38"/>
      <c r="H24" s="38"/>
      <c r="I24" s="38"/>
      <c r="J24" s="38"/>
      <c r="K24" s="38"/>
      <c r="L24" s="38"/>
      <c r="M24" s="38"/>
      <c r="N24" s="38"/>
      <c r="O24" s="38"/>
    </row>
    <row r="25" spans="1:21" x14ac:dyDescent="0.35">
      <c r="A25" s="58"/>
      <c r="B25" s="62"/>
      <c r="C25" s="62"/>
      <c r="D25" s="62"/>
      <c r="E25" s="38"/>
      <c r="F25" s="38"/>
      <c r="G25" s="38"/>
      <c r="H25" s="38"/>
      <c r="I25" s="38"/>
      <c r="J25" s="38"/>
      <c r="K25" s="38"/>
      <c r="L25" s="38"/>
      <c r="M25" s="38"/>
      <c r="N25" s="38"/>
      <c r="O25" s="38"/>
    </row>
    <row r="26" spans="1:21" ht="20" x14ac:dyDescent="0.35">
      <c r="A26" s="58"/>
      <c r="B26" s="58"/>
      <c r="C26" s="60"/>
      <c r="D26" s="60"/>
      <c r="E26" s="38"/>
      <c r="F26" s="38"/>
      <c r="G26" s="38"/>
      <c r="H26" s="38"/>
      <c r="I26" s="38"/>
      <c r="J26" s="38"/>
      <c r="K26" s="38"/>
      <c r="L26" s="38"/>
      <c r="M26" s="38"/>
      <c r="N26" s="38"/>
      <c r="O26" s="38"/>
    </row>
    <row r="27" spans="1:21" ht="20" x14ac:dyDescent="0.35">
      <c r="A27" s="58"/>
      <c r="B27" s="58"/>
      <c r="C27" s="60"/>
      <c r="D27" s="60"/>
      <c r="E27" s="38"/>
      <c r="F27" s="38"/>
      <c r="G27" s="38"/>
      <c r="H27" s="38"/>
      <c r="I27" s="38"/>
      <c r="J27" s="38"/>
      <c r="K27" s="38"/>
      <c r="L27" s="38"/>
      <c r="M27" s="38"/>
      <c r="N27" s="38"/>
      <c r="O27" s="38"/>
    </row>
    <row r="28" spans="1:21" ht="20" x14ac:dyDescent="0.35">
      <c r="A28" s="58"/>
      <c r="B28" s="58"/>
      <c r="C28" s="60"/>
      <c r="D28" s="60"/>
      <c r="E28" s="38"/>
      <c r="F28" s="38"/>
      <c r="G28" s="38"/>
      <c r="H28" s="38"/>
      <c r="I28" s="38"/>
      <c r="J28" s="38"/>
      <c r="K28" s="38"/>
      <c r="L28" s="38"/>
      <c r="M28" s="38"/>
      <c r="N28" s="38"/>
      <c r="O28" s="38"/>
    </row>
    <row r="29" spans="1:21" ht="20" x14ac:dyDescent="0.35">
      <c r="A29" s="58"/>
      <c r="B29" s="58"/>
      <c r="C29" s="60"/>
      <c r="D29" s="60"/>
      <c r="E29" s="38"/>
      <c r="F29" s="38"/>
      <c r="G29" s="38"/>
      <c r="H29" s="38"/>
      <c r="I29" s="38"/>
      <c r="J29" s="38"/>
      <c r="K29" s="38"/>
      <c r="L29" s="38"/>
      <c r="M29" s="38"/>
      <c r="N29" s="38"/>
      <c r="O29" s="38"/>
    </row>
    <row r="30" spans="1:21" ht="20" x14ac:dyDescent="0.35">
      <c r="A30" s="58"/>
      <c r="B30" s="58"/>
      <c r="C30" s="60"/>
      <c r="D30" s="60"/>
      <c r="E30" s="38"/>
      <c r="F30" s="38"/>
      <c r="G30" s="38"/>
      <c r="H30" s="38"/>
      <c r="I30" s="38"/>
      <c r="J30" s="38"/>
      <c r="K30" s="38"/>
      <c r="L30" s="38"/>
      <c r="M30" s="38"/>
      <c r="N30" s="38"/>
      <c r="O30" s="38"/>
    </row>
    <row r="31" spans="1:21" ht="20" x14ac:dyDescent="0.35">
      <c r="A31" s="58"/>
      <c r="B31" s="58"/>
      <c r="C31" s="60"/>
      <c r="D31" s="60"/>
      <c r="E31" s="38"/>
      <c r="F31" s="38"/>
      <c r="G31" s="38"/>
      <c r="H31" s="38"/>
      <c r="I31" s="38"/>
      <c r="J31" s="38"/>
      <c r="K31" s="38"/>
      <c r="L31" s="38"/>
      <c r="M31" s="38"/>
      <c r="N31" s="38"/>
      <c r="O31" s="38"/>
    </row>
    <row r="32" spans="1:21" ht="20" x14ac:dyDescent="0.35">
      <c r="A32" s="58"/>
      <c r="B32" s="58"/>
      <c r="C32" s="60"/>
      <c r="D32" s="60"/>
      <c r="E32" s="38"/>
      <c r="F32" s="38"/>
      <c r="G32" s="38"/>
      <c r="H32" s="38"/>
      <c r="I32" s="38"/>
      <c r="J32" s="38"/>
      <c r="K32" s="38"/>
      <c r="L32" s="38"/>
      <c r="M32" s="38"/>
      <c r="N32" s="38"/>
      <c r="O32" s="38"/>
    </row>
    <row r="33" spans="1:15" ht="20" x14ac:dyDescent="0.35">
      <c r="A33" s="58"/>
      <c r="B33" s="58"/>
      <c r="C33" s="60"/>
      <c r="D33" s="60"/>
      <c r="E33" s="38"/>
      <c r="F33" s="38"/>
      <c r="G33" s="38"/>
      <c r="H33" s="38"/>
      <c r="I33" s="38"/>
      <c r="J33" s="38"/>
      <c r="K33" s="38"/>
      <c r="L33" s="38"/>
      <c r="M33" s="38"/>
      <c r="N33" s="38"/>
      <c r="O33" s="38"/>
    </row>
    <row r="34" spans="1:15" ht="20" x14ac:dyDescent="0.35">
      <c r="A34" s="58"/>
      <c r="B34" s="58"/>
      <c r="C34" s="60"/>
      <c r="D34" s="60"/>
      <c r="E34" s="38"/>
      <c r="F34" s="38"/>
      <c r="G34" s="38"/>
      <c r="H34" s="38"/>
      <c r="I34" s="38"/>
      <c r="J34" s="38"/>
      <c r="K34" s="38"/>
      <c r="L34" s="38"/>
      <c r="M34" s="38"/>
      <c r="N34" s="38"/>
      <c r="O34" s="38"/>
    </row>
    <row r="35" spans="1:15" ht="20" x14ac:dyDescent="0.35">
      <c r="A35" s="58"/>
      <c r="B35" s="58"/>
      <c r="C35" s="60"/>
      <c r="D35" s="60"/>
      <c r="E35" s="38"/>
      <c r="F35" s="38"/>
      <c r="G35" s="38"/>
      <c r="H35" s="38"/>
      <c r="I35" s="38"/>
      <c r="J35" s="38"/>
      <c r="K35" s="38"/>
      <c r="L35" s="38"/>
      <c r="M35" s="38"/>
      <c r="N35" s="38"/>
      <c r="O35" s="38"/>
    </row>
    <row r="36" spans="1:15" ht="20" x14ac:dyDescent="0.35">
      <c r="A36" s="58"/>
      <c r="B36" s="58"/>
      <c r="C36" s="60"/>
      <c r="D36" s="60"/>
      <c r="E36" s="38"/>
      <c r="F36" s="38"/>
      <c r="G36" s="38"/>
      <c r="H36" s="38"/>
      <c r="I36" s="38"/>
      <c r="J36" s="38"/>
      <c r="K36" s="38"/>
      <c r="L36" s="38"/>
      <c r="M36" s="38"/>
      <c r="N36" s="38"/>
      <c r="O36" s="38"/>
    </row>
    <row r="37" spans="1:15" ht="20" x14ac:dyDescent="0.35">
      <c r="A37" s="58"/>
      <c r="B37" s="58"/>
      <c r="C37" s="60"/>
      <c r="D37" s="60"/>
      <c r="E37" s="38"/>
      <c r="F37" s="38"/>
      <c r="G37" s="38"/>
      <c r="H37" s="38"/>
      <c r="I37" s="38"/>
      <c r="J37" s="38"/>
      <c r="K37" s="38"/>
      <c r="L37" s="38"/>
      <c r="M37" s="38"/>
      <c r="N37" s="38"/>
      <c r="O37" s="38"/>
    </row>
    <row r="38" spans="1:15" ht="20" x14ac:dyDescent="0.35">
      <c r="A38" s="58"/>
      <c r="B38" s="58"/>
      <c r="C38" s="60"/>
      <c r="D38" s="60"/>
      <c r="E38" s="38"/>
      <c r="F38" s="38"/>
      <c r="G38" s="38"/>
      <c r="H38" s="38"/>
      <c r="I38" s="38"/>
      <c r="J38" s="38"/>
      <c r="K38" s="38"/>
      <c r="L38" s="38"/>
      <c r="M38" s="38"/>
      <c r="N38" s="38"/>
      <c r="O38" s="38"/>
    </row>
    <row r="39" spans="1:15" ht="20" x14ac:dyDescent="0.35">
      <c r="A39" s="58"/>
      <c r="B39" s="58"/>
      <c r="C39" s="60"/>
      <c r="D39" s="60"/>
      <c r="E39" s="38"/>
      <c r="F39" s="38"/>
      <c r="G39" s="38"/>
      <c r="H39" s="38"/>
      <c r="I39" s="38"/>
      <c r="J39" s="38"/>
      <c r="K39" s="38"/>
      <c r="L39" s="38"/>
      <c r="M39" s="38"/>
      <c r="N39" s="38"/>
      <c r="O39" s="38"/>
    </row>
    <row r="40" spans="1:15" ht="20" x14ac:dyDescent="0.35">
      <c r="A40" s="58"/>
      <c r="B40" s="58"/>
      <c r="C40" s="60"/>
      <c r="D40" s="60"/>
      <c r="E40" s="38"/>
      <c r="F40" s="38"/>
      <c r="G40" s="38"/>
      <c r="H40" s="38"/>
      <c r="I40" s="38"/>
      <c r="J40" s="38"/>
      <c r="K40" s="38"/>
      <c r="L40" s="38"/>
      <c r="M40" s="38"/>
      <c r="N40" s="38"/>
      <c r="O40" s="38"/>
    </row>
    <row r="41" spans="1:15" ht="20" x14ac:dyDescent="0.35">
      <c r="A41" s="58"/>
      <c r="B41" s="58"/>
      <c r="C41" s="60"/>
      <c r="D41" s="60"/>
      <c r="E41" s="38"/>
      <c r="F41" s="38"/>
      <c r="G41" s="38"/>
      <c r="H41" s="38"/>
      <c r="I41" s="38"/>
      <c r="J41" s="38"/>
      <c r="K41" s="38"/>
      <c r="L41" s="38"/>
      <c r="M41" s="38"/>
      <c r="N41" s="38"/>
      <c r="O41" s="38"/>
    </row>
    <row r="42" spans="1:15" ht="20" x14ac:dyDescent="0.35">
      <c r="A42" s="58"/>
      <c r="B42" s="58"/>
      <c r="C42" s="60"/>
      <c r="D42" s="60"/>
      <c r="E42" s="38"/>
      <c r="F42" s="38"/>
      <c r="G42" s="38"/>
      <c r="H42" s="38"/>
      <c r="I42" s="38"/>
      <c r="J42" s="38"/>
      <c r="K42" s="38"/>
      <c r="L42" s="38"/>
      <c r="M42" s="38"/>
      <c r="N42" s="38"/>
      <c r="O42" s="38"/>
    </row>
    <row r="43" spans="1:15" ht="20" x14ac:dyDescent="0.35">
      <c r="A43" s="58"/>
      <c r="B43" s="58"/>
      <c r="C43" s="60"/>
      <c r="D43" s="60"/>
      <c r="E43" s="38"/>
      <c r="F43" s="38"/>
      <c r="G43" s="38"/>
      <c r="H43" s="38"/>
      <c r="I43" s="38"/>
      <c r="J43" s="38"/>
      <c r="K43" s="38"/>
      <c r="L43" s="38"/>
      <c r="M43" s="38"/>
      <c r="N43" s="38"/>
      <c r="O43" s="38"/>
    </row>
    <row r="44" spans="1:15" ht="20" x14ac:dyDescent="0.35">
      <c r="A44" s="58"/>
      <c r="B44" s="58"/>
      <c r="C44" s="60"/>
      <c r="D44" s="60"/>
      <c r="E44" s="38"/>
      <c r="F44" s="38"/>
      <c r="G44" s="38"/>
      <c r="H44" s="38"/>
      <c r="I44" s="38"/>
      <c r="J44" s="38"/>
      <c r="K44" s="38"/>
      <c r="L44" s="38"/>
      <c r="M44" s="38"/>
      <c r="N44" s="38"/>
      <c r="O44" s="38"/>
    </row>
    <row r="45" spans="1:15" ht="20" x14ac:dyDescent="0.35">
      <c r="A45" s="58"/>
      <c r="B45" s="58"/>
      <c r="C45" s="60"/>
      <c r="D45" s="60"/>
      <c r="E45" s="38"/>
      <c r="F45" s="38"/>
      <c r="G45" s="38"/>
      <c r="H45" s="38"/>
      <c r="I45" s="38"/>
      <c r="J45" s="38"/>
      <c r="K45" s="38"/>
      <c r="L45" s="38"/>
      <c r="M45" s="38"/>
      <c r="N45" s="38"/>
      <c r="O45" s="38"/>
    </row>
    <row r="46" spans="1:15" ht="20" x14ac:dyDescent="0.35">
      <c r="A46" s="58"/>
      <c r="B46" s="58"/>
      <c r="C46" s="60"/>
      <c r="D46" s="60"/>
      <c r="E46" s="38"/>
      <c r="F46" s="38"/>
      <c r="G46" s="38"/>
      <c r="H46" s="38"/>
      <c r="I46" s="38"/>
      <c r="J46" s="38"/>
      <c r="K46" s="38"/>
      <c r="L46" s="38"/>
      <c r="M46" s="38"/>
      <c r="N46" s="38"/>
      <c r="O46" s="38"/>
    </row>
    <row r="47" spans="1:15" ht="20" x14ac:dyDescent="0.35">
      <c r="A47" s="58"/>
      <c r="B47" s="58"/>
      <c r="C47" s="60"/>
      <c r="D47" s="60"/>
      <c r="E47" s="38"/>
      <c r="F47" s="38"/>
      <c r="G47" s="38"/>
      <c r="H47" s="38"/>
      <c r="I47" s="38"/>
      <c r="J47" s="38"/>
      <c r="K47" s="38"/>
      <c r="L47" s="38"/>
      <c r="M47" s="38"/>
      <c r="N47" s="38"/>
      <c r="O47" s="38"/>
    </row>
    <row r="48" spans="1:15" ht="20" x14ac:dyDescent="0.35">
      <c r="A48" s="58"/>
      <c r="B48" s="58"/>
      <c r="C48" s="60"/>
      <c r="D48" s="60"/>
      <c r="E48" s="38"/>
      <c r="F48" s="38"/>
      <c r="G48" s="38"/>
      <c r="H48" s="38"/>
      <c r="I48" s="38"/>
      <c r="J48" s="38"/>
      <c r="K48" s="38"/>
      <c r="L48" s="38"/>
      <c r="M48" s="38"/>
      <c r="N48" s="38"/>
      <c r="O48" s="38"/>
    </row>
    <row r="49" spans="1:15" ht="20" x14ac:dyDescent="0.35">
      <c r="A49" s="58"/>
      <c r="B49" s="58"/>
      <c r="C49" s="60"/>
      <c r="D49" s="60"/>
      <c r="E49" s="38"/>
      <c r="F49" s="38"/>
      <c r="G49" s="38"/>
      <c r="H49" s="38"/>
      <c r="I49" s="38"/>
      <c r="J49" s="38"/>
      <c r="K49" s="38"/>
      <c r="L49" s="38"/>
      <c r="M49" s="38"/>
      <c r="N49" s="38"/>
      <c r="O49" s="38"/>
    </row>
    <row r="50" spans="1:15" ht="20" x14ac:dyDescent="0.35">
      <c r="A50" s="58"/>
      <c r="B50" s="58"/>
      <c r="C50" s="60"/>
      <c r="D50" s="60"/>
      <c r="E50" s="38"/>
      <c r="F50" s="38"/>
      <c r="G50" s="38"/>
      <c r="H50" s="38"/>
      <c r="I50" s="38"/>
      <c r="J50" s="38"/>
      <c r="K50" s="38"/>
      <c r="L50" s="38"/>
      <c r="M50" s="38"/>
      <c r="N50" s="38"/>
      <c r="O50" s="38"/>
    </row>
    <row r="51" spans="1:15" ht="20" x14ac:dyDescent="0.35">
      <c r="A51" s="58"/>
      <c r="B51" s="58"/>
      <c r="C51" s="60"/>
      <c r="D51" s="60"/>
      <c r="E51" s="38"/>
      <c r="F51" s="38"/>
      <c r="G51" s="38"/>
      <c r="H51" s="38"/>
      <c r="I51" s="38"/>
      <c r="J51" s="38"/>
      <c r="K51" s="38"/>
      <c r="L51" s="38"/>
      <c r="M51" s="38"/>
      <c r="N51" s="38"/>
      <c r="O51" s="38"/>
    </row>
    <row r="52" spans="1:15" ht="20" x14ac:dyDescent="0.35">
      <c r="A52" s="58"/>
      <c r="B52" s="58"/>
      <c r="C52" s="60"/>
      <c r="D52" s="60"/>
      <c r="E52" s="38"/>
      <c r="F52" s="38"/>
      <c r="G52" s="38"/>
      <c r="H52" s="38"/>
      <c r="I52" s="38"/>
      <c r="J52" s="38"/>
      <c r="K52" s="38"/>
      <c r="L52" s="38"/>
      <c r="M52" s="38"/>
      <c r="N52" s="38"/>
      <c r="O52" s="38"/>
    </row>
    <row r="53" spans="1:15" ht="20" x14ac:dyDescent="0.35">
      <c r="A53" s="58"/>
      <c r="B53" s="58"/>
      <c r="C53" s="60"/>
      <c r="D53" s="60"/>
      <c r="E53" s="38"/>
      <c r="F53" s="38"/>
      <c r="G53" s="38"/>
      <c r="H53" s="38"/>
      <c r="I53" s="38"/>
      <c r="J53" s="38"/>
      <c r="K53" s="38"/>
      <c r="L53" s="38"/>
      <c r="M53" s="38"/>
      <c r="N53" s="38"/>
      <c r="O53" s="38"/>
    </row>
    <row r="54" spans="1:15" ht="20" x14ac:dyDescent="0.35">
      <c r="A54" s="58"/>
      <c r="B54" s="58"/>
      <c r="C54" s="60"/>
      <c r="D54" s="60"/>
      <c r="E54" s="38"/>
      <c r="F54" s="38"/>
      <c r="G54" s="38"/>
      <c r="H54" s="38"/>
      <c r="I54" s="38"/>
      <c r="J54" s="38"/>
      <c r="K54" s="38"/>
      <c r="L54" s="38"/>
      <c r="M54" s="38"/>
      <c r="N54" s="38"/>
      <c r="O54" s="38"/>
    </row>
    <row r="55" spans="1:15" ht="20" x14ac:dyDescent="0.35">
      <c r="A55" s="58"/>
      <c r="B55" s="58"/>
      <c r="C55" s="60"/>
      <c r="D55" s="60"/>
      <c r="E55" s="38"/>
      <c r="F55" s="38"/>
      <c r="G55" s="38"/>
      <c r="H55" s="38"/>
      <c r="I55" s="38"/>
      <c r="J55" s="38"/>
      <c r="K55" s="38"/>
      <c r="L55" s="38"/>
      <c r="M55" s="38"/>
      <c r="N55" s="38"/>
      <c r="O55" s="38"/>
    </row>
    <row r="56" spans="1:15" ht="20" x14ac:dyDescent="0.35">
      <c r="A56" s="58"/>
      <c r="B56" s="21"/>
      <c r="C56" s="28"/>
      <c r="D56" s="28"/>
    </row>
    <row r="57" spans="1:15" ht="20" x14ac:dyDescent="0.35">
      <c r="A57" s="58"/>
      <c r="B57" s="21"/>
      <c r="C57" s="28"/>
      <c r="D57" s="28"/>
    </row>
    <row r="58" spans="1:15" ht="20" x14ac:dyDescent="0.35">
      <c r="A58" s="58"/>
      <c r="B58" s="21"/>
      <c r="C58" s="28"/>
      <c r="D58" s="28"/>
    </row>
    <row r="59" spans="1:15" ht="20" x14ac:dyDescent="0.35">
      <c r="A59" s="58"/>
      <c r="B59" s="21"/>
      <c r="C59" s="28"/>
      <c r="D59" s="28"/>
    </row>
    <row r="60" spans="1:15" ht="20" x14ac:dyDescent="0.35">
      <c r="A60" s="58"/>
      <c r="B60" s="21"/>
      <c r="C60" s="28"/>
      <c r="D60" s="28"/>
    </row>
    <row r="61" spans="1:15" ht="20" x14ac:dyDescent="0.35">
      <c r="A61" s="58"/>
      <c r="B61" s="21"/>
      <c r="C61" s="28"/>
      <c r="D61" s="28"/>
    </row>
    <row r="62" spans="1:15" ht="20" x14ac:dyDescent="0.35">
      <c r="A62" s="58"/>
      <c r="B62" s="21"/>
      <c r="C62" s="28"/>
      <c r="D62" s="28"/>
    </row>
    <row r="63" spans="1:15" ht="20" x14ac:dyDescent="0.35">
      <c r="A63" s="58"/>
      <c r="B63" s="21"/>
      <c r="C63" s="28"/>
      <c r="D63" s="28"/>
    </row>
    <row r="64" spans="1:15" ht="20" x14ac:dyDescent="0.35">
      <c r="A64" s="58"/>
      <c r="B64" s="21"/>
      <c r="C64" s="28"/>
      <c r="D64" s="28"/>
    </row>
    <row r="65" spans="1:4" ht="20" x14ac:dyDescent="0.35">
      <c r="A65" s="58"/>
      <c r="B65" s="21"/>
      <c r="C65" s="28"/>
      <c r="D65" s="28"/>
    </row>
    <row r="66" spans="1:4" ht="20" x14ac:dyDescent="0.35">
      <c r="A66" s="58"/>
      <c r="B66" s="21"/>
      <c r="C66" s="28"/>
      <c r="D66" s="28"/>
    </row>
    <row r="67" spans="1:4" ht="20" x14ac:dyDescent="0.35">
      <c r="A67" s="58"/>
      <c r="B67" s="21"/>
      <c r="C67" s="28"/>
      <c r="D67" s="28"/>
    </row>
    <row r="68" spans="1:4" ht="20" x14ac:dyDescent="0.35">
      <c r="A68" s="58"/>
      <c r="B68" s="21"/>
      <c r="C68" s="28"/>
      <c r="D68" s="28"/>
    </row>
    <row r="69" spans="1:4" ht="20" x14ac:dyDescent="0.35">
      <c r="A69" s="58"/>
      <c r="B69" s="21"/>
      <c r="C69" s="28"/>
      <c r="D69" s="28"/>
    </row>
    <row r="70" spans="1:4" ht="20" x14ac:dyDescent="0.35">
      <c r="A70" s="58"/>
      <c r="B70" s="21"/>
      <c r="C70" s="28"/>
      <c r="D70" s="28"/>
    </row>
    <row r="71" spans="1:4" ht="20" x14ac:dyDescent="0.35">
      <c r="A71" s="58"/>
      <c r="B71" s="21"/>
      <c r="C71" s="28"/>
      <c r="D71" s="28"/>
    </row>
    <row r="72" spans="1:4" ht="20" x14ac:dyDescent="0.35">
      <c r="A72" s="58"/>
      <c r="B72" s="21"/>
      <c r="C72" s="28"/>
      <c r="D72" s="28"/>
    </row>
    <row r="73" spans="1:4" ht="20" x14ac:dyDescent="0.35">
      <c r="A73" s="58"/>
      <c r="B73" s="21"/>
      <c r="C73" s="28"/>
      <c r="D73" s="28"/>
    </row>
    <row r="74" spans="1:4" ht="20" x14ac:dyDescent="0.35">
      <c r="A74" s="58"/>
      <c r="B74" s="21"/>
      <c r="C74" s="28"/>
      <c r="D74" s="28"/>
    </row>
    <row r="75" spans="1:4" ht="20" x14ac:dyDescent="0.35">
      <c r="A75" s="58"/>
      <c r="B75" s="21"/>
      <c r="C75" s="28"/>
      <c r="D75" s="28"/>
    </row>
    <row r="76" spans="1:4" ht="20" x14ac:dyDescent="0.35">
      <c r="A76" s="58"/>
      <c r="B76" s="21"/>
      <c r="C76" s="28"/>
      <c r="D76" s="28"/>
    </row>
    <row r="77" spans="1:4" ht="20" x14ac:dyDescent="0.35">
      <c r="A77" s="58"/>
      <c r="B77" s="21"/>
      <c r="C77" s="28"/>
      <c r="D77" s="28"/>
    </row>
    <row r="78" spans="1:4" ht="20" x14ac:dyDescent="0.35">
      <c r="A78" s="58"/>
      <c r="B78" s="21"/>
      <c r="C78" s="28"/>
      <c r="D78" s="28"/>
    </row>
    <row r="79" spans="1:4" ht="20" x14ac:dyDescent="0.35">
      <c r="A79" s="58"/>
      <c r="B79" s="21"/>
      <c r="C79" s="28"/>
      <c r="D79" s="28"/>
    </row>
    <row r="80" spans="1:4" ht="20" x14ac:dyDescent="0.35">
      <c r="A80" s="58"/>
      <c r="B80" s="21"/>
      <c r="C80" s="28"/>
      <c r="D80" s="28"/>
    </row>
    <row r="81" spans="1:4" ht="20" x14ac:dyDescent="0.35">
      <c r="A81" s="58"/>
      <c r="B81" s="21"/>
      <c r="C81" s="28"/>
      <c r="D81" s="28"/>
    </row>
    <row r="82" spans="1:4" ht="20" x14ac:dyDescent="0.35">
      <c r="A82" s="58"/>
      <c r="B82" s="21"/>
      <c r="C82" s="28"/>
      <c r="D82" s="28"/>
    </row>
    <row r="83" spans="1:4" ht="20" x14ac:dyDescent="0.35">
      <c r="A83" s="58"/>
      <c r="B83" s="21"/>
      <c r="C83" s="28"/>
      <c r="D83" s="28"/>
    </row>
    <row r="84" spans="1:4" ht="20" x14ac:dyDescent="0.35">
      <c r="A84" s="58"/>
      <c r="B84" s="21"/>
      <c r="C84" s="28"/>
      <c r="D84" s="28"/>
    </row>
    <row r="85" spans="1:4" ht="20" x14ac:dyDescent="0.35">
      <c r="A85" s="58"/>
      <c r="B85" s="21"/>
      <c r="C85" s="28"/>
      <c r="D85" s="28"/>
    </row>
    <row r="86" spans="1:4" ht="20" x14ac:dyDescent="0.35">
      <c r="A86" s="58"/>
      <c r="B86" s="21"/>
      <c r="C86" s="28"/>
      <c r="D86" s="28"/>
    </row>
    <row r="87" spans="1:4" ht="20" x14ac:dyDescent="0.35">
      <c r="A87" s="58"/>
      <c r="B87" s="21"/>
      <c r="C87" s="28"/>
      <c r="D87" s="28"/>
    </row>
    <row r="88" spans="1:4" ht="20" x14ac:dyDescent="0.35">
      <c r="A88" s="58"/>
      <c r="B88" s="21"/>
      <c r="C88" s="28"/>
      <c r="D88" s="28"/>
    </row>
    <row r="89" spans="1:4" ht="20" x14ac:dyDescent="0.35">
      <c r="A89" s="58"/>
      <c r="B89" s="21"/>
      <c r="C89" s="28"/>
      <c r="D89" s="28"/>
    </row>
    <row r="90" spans="1:4" ht="20" x14ac:dyDescent="0.35">
      <c r="A90" s="58"/>
      <c r="B90" s="21"/>
      <c r="C90" s="28"/>
      <c r="D90" s="28"/>
    </row>
    <row r="91" spans="1:4" ht="20" x14ac:dyDescent="0.35">
      <c r="A91" s="58"/>
      <c r="B91" s="21"/>
      <c r="C91" s="28"/>
      <c r="D91" s="28"/>
    </row>
    <row r="92" spans="1:4" ht="20" x14ac:dyDescent="0.35">
      <c r="A92" s="58"/>
      <c r="B92" s="21"/>
      <c r="C92" s="28"/>
      <c r="D92" s="28"/>
    </row>
    <row r="93" spans="1:4" ht="20" x14ac:dyDescent="0.35">
      <c r="A93" s="58"/>
      <c r="B93" s="21"/>
      <c r="C93" s="28"/>
      <c r="D93" s="28"/>
    </row>
    <row r="94" spans="1:4" ht="20" x14ac:dyDescent="0.35">
      <c r="A94" s="58"/>
      <c r="B94" s="21"/>
      <c r="C94" s="28"/>
      <c r="D94" s="28"/>
    </row>
    <row r="95" spans="1:4" ht="20" x14ac:dyDescent="0.35">
      <c r="A95" s="58"/>
      <c r="B95" s="21"/>
      <c r="C95" s="28"/>
      <c r="D95" s="28"/>
    </row>
    <row r="96" spans="1:4" ht="20" x14ac:dyDescent="0.35">
      <c r="A96" s="58"/>
      <c r="B96" s="21"/>
      <c r="C96" s="28"/>
      <c r="D96" s="28"/>
    </row>
    <row r="97" spans="1:4" ht="20" x14ac:dyDescent="0.35">
      <c r="A97" s="58"/>
      <c r="B97" s="21"/>
      <c r="C97" s="28"/>
      <c r="D97" s="28"/>
    </row>
    <row r="98" spans="1:4" ht="20" x14ac:dyDescent="0.35">
      <c r="A98" s="58"/>
      <c r="B98" s="21"/>
      <c r="C98" s="28"/>
      <c r="D98" s="28"/>
    </row>
    <row r="99" spans="1:4" ht="20" x14ac:dyDescent="0.35">
      <c r="A99" s="58"/>
      <c r="B99" s="21"/>
      <c r="C99" s="28"/>
      <c r="D99" s="28"/>
    </row>
    <row r="100" spans="1:4" ht="20" x14ac:dyDescent="0.35">
      <c r="A100" s="58"/>
      <c r="B100" s="21"/>
      <c r="C100" s="28"/>
      <c r="D100" s="28"/>
    </row>
    <row r="101" spans="1:4" ht="20" x14ac:dyDescent="0.35">
      <c r="A101" s="58"/>
      <c r="B101" s="21"/>
      <c r="C101" s="28"/>
      <c r="D101" s="28"/>
    </row>
    <row r="102" spans="1:4" ht="20" x14ac:dyDescent="0.35">
      <c r="A102" s="58"/>
      <c r="B102" s="21"/>
      <c r="C102" s="28"/>
      <c r="D102" s="28"/>
    </row>
    <row r="103" spans="1:4" ht="20" x14ac:dyDescent="0.35">
      <c r="A103" s="58"/>
      <c r="B103" s="21"/>
      <c r="C103" s="28"/>
      <c r="D103" s="28"/>
    </row>
    <row r="104" spans="1:4" ht="20" x14ac:dyDescent="0.35">
      <c r="A104" s="58"/>
      <c r="B104" s="21"/>
      <c r="C104" s="28"/>
      <c r="D104" s="28"/>
    </row>
    <row r="105" spans="1:4" ht="20" x14ac:dyDescent="0.35">
      <c r="A105" s="58"/>
      <c r="B105" s="21"/>
      <c r="C105" s="28"/>
      <c r="D105" s="28"/>
    </row>
    <row r="106" spans="1:4" ht="20" x14ac:dyDescent="0.35">
      <c r="A106" s="58"/>
      <c r="B106" s="21"/>
      <c r="C106" s="28"/>
      <c r="D106" s="28"/>
    </row>
    <row r="107" spans="1:4" ht="20" x14ac:dyDescent="0.35">
      <c r="A107" s="58"/>
      <c r="B107" s="21"/>
      <c r="C107" s="28"/>
      <c r="D107" s="28"/>
    </row>
    <row r="108" spans="1:4" ht="20" x14ac:dyDescent="0.35">
      <c r="A108" s="58"/>
      <c r="B108" s="21"/>
      <c r="C108" s="28"/>
      <c r="D108" s="28"/>
    </row>
    <row r="109" spans="1:4" ht="20" x14ac:dyDescent="0.35">
      <c r="A109" s="58"/>
      <c r="B109" s="21"/>
      <c r="C109" s="28"/>
      <c r="D109" s="28"/>
    </row>
    <row r="110" spans="1:4" ht="20" x14ac:dyDescent="0.35">
      <c r="A110" s="58"/>
      <c r="B110" s="21"/>
      <c r="C110" s="28"/>
      <c r="D110" s="28"/>
    </row>
    <row r="111" spans="1:4" ht="20" x14ac:dyDescent="0.35">
      <c r="A111" s="58"/>
      <c r="B111" s="21"/>
      <c r="C111" s="28"/>
      <c r="D111" s="28"/>
    </row>
    <row r="112" spans="1:4" ht="20" x14ac:dyDescent="0.35">
      <c r="A112" s="58"/>
      <c r="B112" s="21"/>
      <c r="C112" s="28"/>
      <c r="D112" s="28"/>
    </row>
    <row r="113" spans="1:4" ht="20" x14ac:dyDescent="0.35">
      <c r="A113" s="58"/>
      <c r="B113" s="21"/>
      <c r="C113" s="28"/>
      <c r="D113" s="28"/>
    </row>
    <row r="114" spans="1:4" ht="20" x14ac:dyDescent="0.35">
      <c r="A114" s="58"/>
      <c r="B114" s="21"/>
      <c r="C114" s="28"/>
      <c r="D114" s="28"/>
    </row>
    <row r="115" spans="1:4" ht="20" x14ac:dyDescent="0.35">
      <c r="A115" s="58"/>
      <c r="B115" s="21"/>
      <c r="C115" s="28"/>
      <c r="D115" s="28"/>
    </row>
    <row r="116" spans="1:4" ht="20" x14ac:dyDescent="0.35">
      <c r="A116" s="58"/>
      <c r="B116" s="21"/>
      <c r="C116" s="28"/>
      <c r="D116" s="28"/>
    </row>
    <row r="117" spans="1:4" ht="20" x14ac:dyDescent="0.35">
      <c r="A117" s="58"/>
      <c r="B117" s="21"/>
      <c r="C117" s="28"/>
      <c r="D117" s="28"/>
    </row>
    <row r="118" spans="1:4" ht="20" x14ac:dyDescent="0.35">
      <c r="A118" s="58"/>
      <c r="B118" s="21"/>
      <c r="C118" s="28"/>
      <c r="D118" s="28"/>
    </row>
    <row r="119" spans="1:4" ht="20" x14ac:dyDescent="0.35">
      <c r="A119" s="58"/>
      <c r="B119" s="21"/>
      <c r="C119" s="28"/>
      <c r="D119" s="28"/>
    </row>
    <row r="120" spans="1:4" ht="20" x14ac:dyDescent="0.35">
      <c r="A120" s="58"/>
      <c r="B120" s="21"/>
      <c r="C120" s="28"/>
      <c r="D120" s="28"/>
    </row>
    <row r="121" spans="1:4" ht="20" x14ac:dyDescent="0.35">
      <c r="A121" s="58"/>
      <c r="B121" s="21"/>
      <c r="C121" s="28"/>
      <c r="D121" s="28"/>
    </row>
    <row r="122" spans="1:4" ht="20" x14ac:dyDescent="0.35">
      <c r="A122" s="58"/>
      <c r="B122" s="21"/>
      <c r="C122" s="28"/>
      <c r="D122" s="28"/>
    </row>
    <row r="123" spans="1:4" ht="20" x14ac:dyDescent="0.35">
      <c r="A123" s="58"/>
      <c r="B123" s="21"/>
      <c r="C123" s="28"/>
      <c r="D123" s="28"/>
    </row>
    <row r="124" spans="1:4" ht="20" x14ac:dyDescent="0.35">
      <c r="A124" s="58"/>
      <c r="B124" s="21"/>
      <c r="C124" s="28"/>
      <c r="D124" s="28"/>
    </row>
    <row r="125" spans="1:4" ht="20" x14ac:dyDescent="0.35">
      <c r="A125" s="58"/>
      <c r="B125" s="21"/>
      <c r="C125" s="28"/>
      <c r="D125" s="28"/>
    </row>
    <row r="126" spans="1:4" ht="20" x14ac:dyDescent="0.35">
      <c r="A126" s="58"/>
      <c r="B126" s="21"/>
      <c r="C126" s="28"/>
      <c r="D126" s="28"/>
    </row>
    <row r="127" spans="1:4" ht="20" x14ac:dyDescent="0.35">
      <c r="A127" s="58"/>
      <c r="B127" s="21"/>
      <c r="C127" s="28"/>
      <c r="D127" s="28"/>
    </row>
    <row r="128" spans="1:4" ht="20" x14ac:dyDescent="0.35">
      <c r="A128" s="58"/>
      <c r="B128" s="21"/>
      <c r="C128" s="28"/>
      <c r="D128" s="28"/>
    </row>
    <row r="129" spans="1:4" ht="20" x14ac:dyDescent="0.35">
      <c r="A129" s="58"/>
      <c r="B129" s="21"/>
      <c r="C129" s="28"/>
      <c r="D129" s="28"/>
    </row>
    <row r="130" spans="1:4" ht="20" x14ac:dyDescent="0.35">
      <c r="A130" s="58"/>
      <c r="B130" s="21"/>
      <c r="C130" s="28"/>
      <c r="D130" s="28"/>
    </row>
    <row r="131" spans="1:4" ht="20" x14ac:dyDescent="0.35">
      <c r="A131" s="58"/>
      <c r="B131" s="21"/>
      <c r="C131" s="28"/>
      <c r="D131" s="28"/>
    </row>
    <row r="132" spans="1:4" ht="20" x14ac:dyDescent="0.35">
      <c r="A132" s="58"/>
      <c r="B132" s="21"/>
      <c r="C132" s="28"/>
      <c r="D132" s="28"/>
    </row>
    <row r="133" spans="1:4" ht="20" x14ac:dyDescent="0.35">
      <c r="A133" s="58"/>
      <c r="B133" s="21"/>
      <c r="C133" s="28"/>
      <c r="D133" s="28"/>
    </row>
    <row r="134" spans="1:4" ht="20" x14ac:dyDescent="0.35">
      <c r="A134" s="58"/>
      <c r="B134" s="21"/>
      <c r="C134" s="28"/>
      <c r="D134" s="28"/>
    </row>
    <row r="135" spans="1:4" ht="20" x14ac:dyDescent="0.35">
      <c r="A135" s="58"/>
      <c r="B135" s="21"/>
      <c r="C135" s="28"/>
      <c r="D135" s="28"/>
    </row>
    <row r="136" spans="1:4" ht="20" x14ac:dyDescent="0.35">
      <c r="A136" s="58"/>
      <c r="B136" s="21"/>
      <c r="C136" s="28"/>
      <c r="D136" s="28"/>
    </row>
    <row r="137" spans="1:4" ht="20" x14ac:dyDescent="0.35">
      <c r="A137" s="58"/>
      <c r="B137" s="21"/>
      <c r="C137" s="28"/>
      <c r="D137" s="28"/>
    </row>
    <row r="138" spans="1:4" ht="20" x14ac:dyDescent="0.35">
      <c r="A138" s="58"/>
      <c r="B138" s="21"/>
      <c r="C138" s="28"/>
      <c r="D138" s="28"/>
    </row>
    <row r="139" spans="1:4" ht="20" x14ac:dyDescent="0.35">
      <c r="A139" s="58"/>
      <c r="B139" s="21"/>
      <c r="C139" s="28"/>
      <c r="D139" s="28"/>
    </row>
    <row r="140" spans="1:4" ht="20" x14ac:dyDescent="0.35">
      <c r="A140" s="58"/>
      <c r="B140" s="21"/>
      <c r="C140" s="28"/>
      <c r="D140" s="28"/>
    </row>
    <row r="141" spans="1:4" ht="20" x14ac:dyDescent="0.35">
      <c r="A141" s="58"/>
      <c r="B141" s="21"/>
      <c r="C141" s="28"/>
      <c r="D141" s="28"/>
    </row>
    <row r="142" spans="1:4" ht="20" x14ac:dyDescent="0.35">
      <c r="A142" s="58"/>
      <c r="B142" s="21"/>
      <c r="C142" s="28"/>
      <c r="D142" s="28"/>
    </row>
    <row r="143" spans="1:4" ht="20" x14ac:dyDescent="0.35">
      <c r="A143" s="58"/>
      <c r="B143" s="21"/>
      <c r="C143" s="28"/>
      <c r="D143" s="28"/>
    </row>
    <row r="144" spans="1:4" ht="20" x14ac:dyDescent="0.35">
      <c r="A144" s="58"/>
      <c r="B144" s="21"/>
      <c r="C144" s="28"/>
      <c r="D144" s="28"/>
    </row>
    <row r="145" spans="1:4" ht="20" x14ac:dyDescent="0.35">
      <c r="A145" s="58"/>
      <c r="B145" s="21"/>
      <c r="C145" s="28"/>
      <c r="D145" s="28"/>
    </row>
    <row r="146" spans="1:4" ht="20" x14ac:dyDescent="0.35">
      <c r="A146" s="58"/>
      <c r="B146" s="21"/>
      <c r="C146" s="28"/>
      <c r="D146" s="28"/>
    </row>
    <row r="147" spans="1:4" ht="20" x14ac:dyDescent="0.35">
      <c r="A147" s="58"/>
      <c r="B147" s="21"/>
      <c r="C147" s="28"/>
      <c r="D147" s="28"/>
    </row>
    <row r="148" spans="1:4" ht="20" x14ac:dyDescent="0.35">
      <c r="A148" s="58"/>
      <c r="B148" s="21"/>
      <c r="C148" s="28"/>
      <c r="D148" s="28"/>
    </row>
    <row r="149" spans="1:4" ht="20" x14ac:dyDescent="0.35">
      <c r="A149" s="58"/>
      <c r="B149" s="21"/>
      <c r="C149" s="28"/>
      <c r="D149" s="28"/>
    </row>
    <row r="150" spans="1:4" ht="20" x14ac:dyDescent="0.35">
      <c r="A150" s="58"/>
      <c r="B150" s="21"/>
      <c r="C150" s="28"/>
      <c r="D150" s="28"/>
    </row>
    <row r="151" spans="1:4" ht="20" x14ac:dyDescent="0.35">
      <c r="A151" s="58"/>
      <c r="B151" s="21"/>
      <c r="C151" s="28"/>
      <c r="D151" s="28"/>
    </row>
    <row r="152" spans="1:4" ht="20" x14ac:dyDescent="0.35">
      <c r="A152" s="58"/>
      <c r="B152" s="21"/>
      <c r="C152" s="28"/>
      <c r="D152" s="28"/>
    </row>
    <row r="153" spans="1:4" ht="20" x14ac:dyDescent="0.35">
      <c r="A153" s="58"/>
      <c r="B153" s="21"/>
      <c r="C153" s="28"/>
      <c r="D153" s="28"/>
    </row>
    <row r="154" spans="1:4" ht="20" x14ac:dyDescent="0.35">
      <c r="A154" s="58"/>
      <c r="B154" s="21"/>
      <c r="C154" s="28"/>
      <c r="D154" s="28"/>
    </row>
    <row r="155" spans="1:4" ht="20" x14ac:dyDescent="0.35">
      <c r="A155" s="58"/>
      <c r="B155" s="21"/>
      <c r="C155" s="28"/>
      <c r="D155" s="28"/>
    </row>
    <row r="156" spans="1:4" ht="20" x14ac:dyDescent="0.35">
      <c r="A156" s="58"/>
      <c r="B156" s="21"/>
      <c r="C156" s="28"/>
      <c r="D156" s="28"/>
    </row>
    <row r="157" spans="1:4" ht="20" x14ac:dyDescent="0.35">
      <c r="A157" s="58"/>
      <c r="B157" s="21"/>
      <c r="C157" s="28"/>
      <c r="D157" s="28"/>
    </row>
    <row r="158" spans="1:4" ht="20" x14ac:dyDescent="0.35">
      <c r="A158" s="58"/>
      <c r="B158" s="21"/>
      <c r="C158" s="28"/>
      <c r="D158" s="28"/>
    </row>
    <row r="159" spans="1:4" ht="20" x14ac:dyDescent="0.35">
      <c r="A159" s="58"/>
      <c r="B159" s="21"/>
      <c r="C159" s="28"/>
      <c r="D159" s="28"/>
    </row>
    <row r="160" spans="1:4" ht="20" x14ac:dyDescent="0.35">
      <c r="A160" s="58"/>
      <c r="B160" s="21"/>
      <c r="C160" s="28"/>
      <c r="D160" s="28"/>
    </row>
    <row r="161" spans="1:4" ht="20" x14ac:dyDescent="0.35">
      <c r="A161" s="58"/>
      <c r="B161" s="21"/>
      <c r="C161" s="28"/>
      <c r="D161" s="28"/>
    </row>
    <row r="162" spans="1:4" ht="20" x14ac:dyDescent="0.35">
      <c r="A162" s="58"/>
      <c r="B162" s="21"/>
      <c r="C162" s="28"/>
      <c r="D162" s="28"/>
    </row>
    <row r="163" spans="1:4" ht="20" x14ac:dyDescent="0.35">
      <c r="A163" s="58"/>
      <c r="B163" s="21"/>
      <c r="C163" s="28"/>
      <c r="D163" s="28"/>
    </row>
    <row r="164" spans="1:4" ht="20" x14ac:dyDescent="0.35">
      <c r="A164" s="58"/>
      <c r="B164" s="21"/>
      <c r="C164" s="28"/>
      <c r="D164" s="28"/>
    </row>
    <row r="165" spans="1:4" ht="20" x14ac:dyDescent="0.35">
      <c r="A165" s="58"/>
      <c r="B165" s="21"/>
      <c r="C165" s="28"/>
      <c r="D165" s="28"/>
    </row>
    <row r="166" spans="1:4" ht="20" x14ac:dyDescent="0.35">
      <c r="A166" s="58"/>
      <c r="B166" s="21"/>
      <c r="C166" s="28"/>
      <c r="D166" s="28"/>
    </row>
    <row r="167" spans="1:4" ht="20" x14ac:dyDescent="0.35">
      <c r="A167" s="58"/>
      <c r="B167" s="21"/>
      <c r="C167" s="28"/>
      <c r="D167" s="28"/>
    </row>
    <row r="168" spans="1:4" ht="20" x14ac:dyDescent="0.35">
      <c r="A168" s="58"/>
      <c r="B168" s="21"/>
      <c r="C168" s="28"/>
      <c r="D168" s="28"/>
    </row>
    <row r="169" spans="1:4" ht="20" x14ac:dyDescent="0.35">
      <c r="A169" s="58"/>
      <c r="B169" s="21"/>
      <c r="C169" s="28"/>
      <c r="D169" s="28"/>
    </row>
    <row r="170" spans="1:4" ht="20" x14ac:dyDescent="0.35">
      <c r="A170" s="58"/>
      <c r="B170" s="21"/>
      <c r="C170" s="28"/>
      <c r="D170" s="28"/>
    </row>
    <row r="171" spans="1:4" ht="20" x14ac:dyDescent="0.35">
      <c r="A171" s="58"/>
      <c r="B171" s="21"/>
      <c r="C171" s="28"/>
      <c r="D171" s="28"/>
    </row>
    <row r="172" spans="1:4" ht="20" x14ac:dyDescent="0.35">
      <c r="A172" s="58"/>
      <c r="B172" s="21"/>
      <c r="C172" s="28"/>
      <c r="D172" s="28"/>
    </row>
    <row r="173" spans="1:4" ht="20" x14ac:dyDescent="0.35">
      <c r="A173" s="58"/>
      <c r="B173" s="21"/>
      <c r="C173" s="28"/>
      <c r="D173" s="28"/>
    </row>
    <row r="174" spans="1:4" ht="20" x14ac:dyDescent="0.35">
      <c r="A174" s="58"/>
      <c r="B174" s="21"/>
      <c r="C174" s="28"/>
      <c r="D174" s="28"/>
    </row>
    <row r="175" spans="1:4" ht="20" x14ac:dyDescent="0.35">
      <c r="A175" s="58"/>
      <c r="B175" s="21"/>
      <c r="C175" s="28"/>
      <c r="D175" s="28"/>
    </row>
    <row r="176" spans="1:4" ht="20" x14ac:dyDescent="0.35">
      <c r="A176" s="58"/>
      <c r="B176" s="21"/>
      <c r="C176" s="28"/>
      <c r="D176" s="28"/>
    </row>
    <row r="177" spans="1:4" ht="20" x14ac:dyDescent="0.35">
      <c r="A177" s="58"/>
      <c r="B177" s="21"/>
      <c r="C177" s="28"/>
      <c r="D177" s="28"/>
    </row>
    <row r="178" spans="1:4" ht="20" x14ac:dyDescent="0.35">
      <c r="A178" s="58"/>
      <c r="B178" s="21"/>
      <c r="C178" s="28"/>
      <c r="D178" s="28"/>
    </row>
    <row r="179" spans="1:4" ht="20" x14ac:dyDescent="0.35">
      <c r="A179" s="58"/>
      <c r="B179" s="21"/>
      <c r="C179" s="28"/>
      <c r="D179" s="28"/>
    </row>
    <row r="180" spans="1:4" ht="20" x14ac:dyDescent="0.35">
      <c r="A180" s="58"/>
      <c r="B180" s="21"/>
      <c r="C180" s="28"/>
      <c r="D180" s="28"/>
    </row>
    <row r="181" spans="1:4" ht="20" x14ac:dyDescent="0.35">
      <c r="A181" s="58"/>
      <c r="B181" s="21"/>
      <c r="C181" s="28"/>
      <c r="D181" s="28"/>
    </row>
    <row r="182" spans="1:4" ht="20" x14ac:dyDescent="0.35">
      <c r="A182" s="58"/>
      <c r="B182" s="21"/>
      <c r="C182" s="28"/>
      <c r="D182" s="28"/>
    </row>
    <row r="183" spans="1:4" ht="20" x14ac:dyDescent="0.35">
      <c r="A183" s="58"/>
      <c r="B183" s="21"/>
      <c r="C183" s="28"/>
      <c r="D183" s="28"/>
    </row>
    <row r="184" spans="1:4" ht="20" x14ac:dyDescent="0.35">
      <c r="A184" s="58"/>
      <c r="B184" s="21"/>
      <c r="C184" s="28"/>
      <c r="D184" s="28"/>
    </row>
    <row r="185" spans="1:4" ht="20" x14ac:dyDescent="0.35">
      <c r="A185" s="58"/>
      <c r="B185" s="21"/>
      <c r="C185" s="28"/>
      <c r="D185" s="28"/>
    </row>
    <row r="186" spans="1:4" ht="20" x14ac:dyDescent="0.35">
      <c r="A186" s="58"/>
      <c r="B186" s="21"/>
      <c r="C186" s="28"/>
      <c r="D186" s="28"/>
    </row>
    <row r="187" spans="1:4" ht="20" x14ac:dyDescent="0.35">
      <c r="A187" s="58"/>
      <c r="B187" s="21"/>
      <c r="C187" s="28"/>
      <c r="D187" s="28"/>
    </row>
    <row r="188" spans="1:4" ht="20" x14ac:dyDescent="0.35">
      <c r="A188" s="58"/>
      <c r="B188" s="21"/>
      <c r="C188" s="28"/>
      <c r="D188" s="28"/>
    </row>
    <row r="189" spans="1:4" ht="20" x14ac:dyDescent="0.35">
      <c r="A189" s="58"/>
      <c r="B189" s="21"/>
      <c r="C189" s="28"/>
      <c r="D189" s="28"/>
    </row>
    <row r="190" spans="1:4" ht="20" x14ac:dyDescent="0.35">
      <c r="A190" s="58"/>
      <c r="B190" s="21"/>
      <c r="C190" s="28"/>
      <c r="D190" s="28"/>
    </row>
    <row r="191" spans="1:4" ht="20" x14ac:dyDescent="0.35">
      <c r="A191" s="58"/>
      <c r="B191" s="21"/>
      <c r="C191" s="28"/>
      <c r="D191" s="28"/>
    </row>
    <row r="192" spans="1:4" ht="20" x14ac:dyDescent="0.35">
      <c r="A192" s="58"/>
      <c r="B192" s="21"/>
      <c r="C192" s="28"/>
      <c r="D192" s="28"/>
    </row>
    <row r="193" spans="1:4" ht="20" x14ac:dyDescent="0.35">
      <c r="A193" s="58"/>
      <c r="B193" s="21"/>
      <c r="C193" s="28"/>
      <c r="D193" s="28"/>
    </row>
    <row r="194" spans="1:4" ht="20" x14ac:dyDescent="0.35">
      <c r="A194" s="58"/>
      <c r="B194" s="21"/>
      <c r="C194" s="28"/>
      <c r="D194" s="28"/>
    </row>
    <row r="195" spans="1:4" ht="20" x14ac:dyDescent="0.35">
      <c r="A195" s="58"/>
      <c r="B195" s="21"/>
      <c r="C195" s="28"/>
      <c r="D195" s="28"/>
    </row>
    <row r="196" spans="1:4" ht="20" x14ac:dyDescent="0.35">
      <c r="A196" s="58"/>
      <c r="B196" s="21"/>
      <c r="C196" s="28"/>
      <c r="D196" s="28"/>
    </row>
    <row r="197" spans="1:4" ht="20" x14ac:dyDescent="0.35">
      <c r="A197" s="58"/>
      <c r="B197" s="21"/>
      <c r="C197" s="28"/>
      <c r="D197" s="28"/>
    </row>
    <row r="198" spans="1:4" ht="20" x14ac:dyDescent="0.35">
      <c r="A198" s="58"/>
      <c r="B198" s="21"/>
      <c r="C198" s="28"/>
      <c r="D198" s="28"/>
    </row>
    <row r="199" spans="1:4" ht="20" x14ac:dyDescent="0.35">
      <c r="A199" s="58"/>
      <c r="B199" s="21"/>
      <c r="C199" s="28"/>
      <c r="D199" s="28"/>
    </row>
    <row r="200" spans="1:4" ht="20" x14ac:dyDescent="0.35">
      <c r="A200" s="58"/>
      <c r="B200" s="21"/>
      <c r="C200" s="28"/>
      <c r="D200" s="28"/>
    </row>
    <row r="201" spans="1:4" ht="20" x14ac:dyDescent="0.35">
      <c r="A201" s="58"/>
      <c r="B201" s="21"/>
      <c r="C201" s="28"/>
      <c r="D201" s="28"/>
    </row>
    <row r="202" spans="1:4" ht="20" x14ac:dyDescent="0.35">
      <c r="A202" s="58"/>
      <c r="B202" s="21"/>
      <c r="C202" s="28"/>
      <c r="D202" s="28"/>
    </row>
    <row r="203" spans="1:4" ht="20" x14ac:dyDescent="0.35">
      <c r="A203" s="58"/>
      <c r="B203" s="21"/>
      <c r="C203" s="28"/>
      <c r="D203" s="28"/>
    </row>
    <row r="204" spans="1:4" ht="20" x14ac:dyDescent="0.35">
      <c r="A204" s="58"/>
      <c r="B204" s="21"/>
      <c r="C204" s="28"/>
      <c r="D204" s="28"/>
    </row>
    <row r="205" spans="1:4" ht="20" x14ac:dyDescent="0.35">
      <c r="A205" s="58"/>
      <c r="B205" s="21"/>
      <c r="C205" s="28"/>
      <c r="D205" s="28"/>
    </row>
    <row r="206" spans="1:4" ht="20" x14ac:dyDescent="0.35">
      <c r="A206" s="58"/>
      <c r="B206" s="21"/>
      <c r="C206" s="28"/>
      <c r="D206" s="28"/>
    </row>
    <row r="207" spans="1:4" ht="20" x14ac:dyDescent="0.35">
      <c r="A207" s="58"/>
      <c r="B207" s="21"/>
      <c r="C207" s="28"/>
      <c r="D207" s="28"/>
    </row>
    <row r="208" spans="1:4" ht="20" x14ac:dyDescent="0.35">
      <c r="A208" s="58"/>
      <c r="B208" s="21"/>
      <c r="C208" s="28"/>
      <c r="D208" s="28"/>
    </row>
    <row r="209" spans="1:8" ht="20" x14ac:dyDescent="0.35">
      <c r="A209" s="58"/>
      <c r="B209" s="21"/>
      <c r="C209" s="28"/>
      <c r="D209" s="28"/>
    </row>
    <row r="210" spans="1:8" ht="20" x14ac:dyDescent="0.35">
      <c r="A210" s="58"/>
      <c r="B210" s="21"/>
      <c r="C210" s="28"/>
      <c r="D210" s="28"/>
    </row>
    <row r="211" spans="1:8" ht="20" x14ac:dyDescent="0.35">
      <c r="A211" s="58"/>
      <c r="B211" s="21"/>
      <c r="C211" s="28"/>
      <c r="D211" s="28"/>
    </row>
    <row r="212" spans="1:8" x14ac:dyDescent="0.35">
      <c r="A212" s="38"/>
      <c r="B212" s="21"/>
      <c r="C212" s="21"/>
      <c r="D212" s="21"/>
    </row>
    <row r="213" spans="1:8" ht="20" x14ac:dyDescent="0.35">
      <c r="A213" s="38"/>
      <c r="B213" s="24" t="s">
        <v>78</v>
      </c>
      <c r="C213" s="24" t="s">
        <v>130</v>
      </c>
      <c r="D213" s="27" t="s">
        <v>78</v>
      </c>
      <c r="E213" s="27" t="s">
        <v>130</v>
      </c>
    </row>
    <row r="214" spans="1:8" ht="21" x14ac:dyDescent="0.5">
      <c r="A214" s="38"/>
      <c r="B214" s="25" t="s">
        <v>80</v>
      </c>
      <c r="C214" s="25" t="s">
        <v>49</v>
      </c>
      <c r="D214" t="s">
        <v>200</v>
      </c>
      <c r="F214" t="str">
        <f>IF(NOT(ISBLANK(D214)),D214,IF(NOT(ISBLANK(E214)),"     "&amp;E214,FALSE))</f>
        <v>Afectación Económica o presupuestal - No seleccionar</v>
      </c>
      <c r="G214" t="s">
        <v>80</v>
      </c>
      <c r="H214" t="str">
        <f>IF(NOT(ISERROR(MATCH(G214,_xlfn.ANCHORARRAY(B225),0))),F227&amp;"Por favor no seleccionar los criterios de impacto",G214)</f>
        <v>❌Por favor no seleccionar los criterios de impacto</v>
      </c>
    </row>
    <row r="215" spans="1:8" ht="21" x14ac:dyDescent="0.5">
      <c r="A215" s="38"/>
      <c r="B215" s="25" t="s">
        <v>80</v>
      </c>
      <c r="C215" s="25" t="s">
        <v>83</v>
      </c>
      <c r="E215" t="s">
        <v>49</v>
      </c>
      <c r="F215" t="str">
        <f t="shared" ref="F215:F225" si="0">IF(NOT(ISBLANK(D215)),D215,IF(NOT(ISBLANK(E215)),"     "&amp;E215,FALSE))</f>
        <v xml:space="preserve">     Afectación menor a 10 SMLMV .</v>
      </c>
    </row>
    <row r="216" spans="1:8" ht="21" x14ac:dyDescent="0.5">
      <c r="A216" s="38"/>
      <c r="B216" s="25" t="s">
        <v>80</v>
      </c>
      <c r="C216" s="25" t="s">
        <v>84</v>
      </c>
      <c r="E216" t="s">
        <v>83</v>
      </c>
      <c r="F216" t="str">
        <f t="shared" si="0"/>
        <v xml:space="preserve">     Entre 10 y 50 SMLMV </v>
      </c>
    </row>
    <row r="217" spans="1:8" ht="21" x14ac:dyDescent="0.5">
      <c r="A217" s="38"/>
      <c r="B217" s="25" t="s">
        <v>80</v>
      </c>
      <c r="C217" s="25" t="s">
        <v>85</v>
      </c>
      <c r="E217" t="s">
        <v>84</v>
      </c>
      <c r="F217" t="str">
        <f t="shared" si="0"/>
        <v xml:space="preserve">     Entre 50 y 100 SMLMV </v>
      </c>
    </row>
    <row r="218" spans="1:8" ht="21" x14ac:dyDescent="0.5">
      <c r="A218" s="38"/>
      <c r="B218" s="25" t="s">
        <v>80</v>
      </c>
      <c r="C218" s="25" t="s">
        <v>86</v>
      </c>
      <c r="E218" t="s">
        <v>85</v>
      </c>
      <c r="F218" t="str">
        <f t="shared" si="0"/>
        <v xml:space="preserve">     Entre 100 y 500 SMLMV </v>
      </c>
    </row>
    <row r="219" spans="1:8" ht="21" x14ac:dyDescent="0.5">
      <c r="A219" s="38"/>
      <c r="B219" s="25" t="s">
        <v>48</v>
      </c>
      <c r="C219" s="25" t="s">
        <v>87</v>
      </c>
      <c r="E219" t="s">
        <v>86</v>
      </c>
      <c r="F219" t="str">
        <f t="shared" si="0"/>
        <v xml:space="preserve">     Mayor a 500 SMLMV </v>
      </c>
    </row>
    <row r="220" spans="1:8" ht="21" x14ac:dyDescent="0.5">
      <c r="A220" s="38"/>
      <c r="B220" s="25" t="s">
        <v>48</v>
      </c>
      <c r="C220" s="25" t="s">
        <v>88</v>
      </c>
      <c r="D220" t="s">
        <v>201</v>
      </c>
      <c r="F220" t="str">
        <f t="shared" si="0"/>
        <v>Pérdida Reputacional - No seleccionar</v>
      </c>
    </row>
    <row r="221" spans="1:8" ht="21" x14ac:dyDescent="0.5">
      <c r="A221" s="38"/>
      <c r="B221" s="25" t="s">
        <v>48</v>
      </c>
      <c r="C221" s="25" t="s">
        <v>90</v>
      </c>
      <c r="E221" t="s">
        <v>87</v>
      </c>
      <c r="F221" t="str">
        <f t="shared" si="0"/>
        <v xml:space="preserve">     El riesgo afecta la imagen de alguna área de la organización</v>
      </c>
    </row>
    <row r="222" spans="1:8" ht="21" x14ac:dyDescent="0.5">
      <c r="A222" s="38"/>
      <c r="B222" s="25" t="s">
        <v>48</v>
      </c>
      <c r="C222" s="25" t="s">
        <v>89</v>
      </c>
      <c r="E222" t="s">
        <v>88</v>
      </c>
      <c r="F222" t="str">
        <f t="shared" si="0"/>
        <v xml:space="preserve">     El riesgo afecta la imagen de la entidad internamente, de conocimiento general, nivel interno, de junta dircetiva y accionistas y/o de provedores</v>
      </c>
    </row>
    <row r="223" spans="1:8" ht="21" x14ac:dyDescent="0.5">
      <c r="A223" s="38"/>
      <c r="B223" s="25" t="s">
        <v>48</v>
      </c>
      <c r="C223" s="25" t="s">
        <v>108</v>
      </c>
      <c r="E223" t="s">
        <v>90</v>
      </c>
      <c r="F223" t="str">
        <f t="shared" si="0"/>
        <v xml:space="preserve">     El riesgo afecta la imagen de la entidad con algunos usuarios de relevancia frente al logro de los objetivos</v>
      </c>
    </row>
    <row r="224" spans="1:8" x14ac:dyDescent="0.35">
      <c r="A224" s="38"/>
      <c r="B224" s="26"/>
      <c r="C224" s="26"/>
      <c r="E224" t="s">
        <v>89</v>
      </c>
      <c r="F224" t="str">
        <f t="shared" si="0"/>
        <v xml:space="preserve">     El riesgo afecta la imagen de de la entidad con efecto publicitario sostenido a nivel de sector administrativo, nivel departamental o municipal</v>
      </c>
    </row>
    <row r="225" spans="1:6" x14ac:dyDescent="0.35">
      <c r="A225" s="38"/>
      <c r="B225" s="26" t="str" cm="1">
        <f t="array" ref="B225:B227">_xlfn.UNIQUE(Tabla1[[#All],[Criterios]])</f>
        <v>Criterios</v>
      </c>
      <c r="C225" s="26"/>
      <c r="E225" t="s">
        <v>108</v>
      </c>
      <c r="F225" t="str">
        <f t="shared" si="0"/>
        <v xml:space="preserve">     El riesgo afecta la imagen de la entidad a nivel nacional, con efecto publicitarios sostenible a nivel país</v>
      </c>
    </row>
    <row r="226" spans="1:6" x14ac:dyDescent="0.35">
      <c r="A226" s="38"/>
      <c r="B226" s="26" t="str">
        <v>Afectación Económica o presupuestal</v>
      </c>
      <c r="C226" s="26"/>
    </row>
    <row r="227" spans="1:6" x14ac:dyDescent="0.35">
      <c r="B227" s="26" t="str">
        <v>Pérdida Reputacional</v>
      </c>
      <c r="C227" s="26"/>
      <c r="F227" s="29" t="s">
        <v>132</v>
      </c>
    </row>
    <row r="228" spans="1:6" x14ac:dyDescent="0.35">
      <c r="B228" s="20"/>
      <c r="C228" s="20"/>
      <c r="F228" s="29" t="s">
        <v>133</v>
      </c>
    </row>
    <row r="229" spans="1:6" x14ac:dyDescent="0.35">
      <c r="B229" s="20"/>
      <c r="C229" s="20"/>
    </row>
    <row r="230" spans="1:6" x14ac:dyDescent="0.35">
      <c r="B230" s="20"/>
      <c r="C230" s="20"/>
    </row>
    <row r="231" spans="1:6" x14ac:dyDescent="0.35">
      <c r="B231" s="20"/>
      <c r="C231" s="20"/>
      <c r="D231" s="20"/>
    </row>
    <row r="232" spans="1:6" x14ac:dyDescent="0.35">
      <c r="B232" s="20"/>
      <c r="C232" s="20"/>
      <c r="D232" s="20"/>
    </row>
    <row r="233" spans="1:6" x14ac:dyDescent="0.35">
      <c r="B233" s="20"/>
      <c r="C233" s="20"/>
      <c r="D233" s="20"/>
    </row>
    <row r="234" spans="1:6" x14ac:dyDescent="0.35">
      <c r="B234" s="20"/>
      <c r="C234" s="20"/>
      <c r="D234" s="20"/>
    </row>
    <row r="235" spans="1:6" x14ac:dyDescent="0.35">
      <c r="B235" s="20"/>
      <c r="C235" s="20"/>
      <c r="D235" s="20"/>
    </row>
    <row r="236" spans="1:6" x14ac:dyDescent="0.35">
      <c r="B236" s="20"/>
      <c r="C236" s="20"/>
      <c r="D236" s="20"/>
    </row>
  </sheetData>
  <mergeCells count="11">
    <mergeCell ref="D10:E10"/>
    <mergeCell ref="D11:E11"/>
    <mergeCell ref="D12:E12"/>
    <mergeCell ref="C2:D2"/>
    <mergeCell ref="C3:D3"/>
    <mergeCell ref="D7:E7"/>
    <mergeCell ref="B5:D5"/>
    <mergeCell ref="B2:B3"/>
    <mergeCell ref="E2:E3"/>
    <mergeCell ref="D8:E8"/>
    <mergeCell ref="D9:E9"/>
  </mergeCells>
  <dataValidations count="1">
    <dataValidation type="list" allowBlank="1" showInputMessage="1" showErrorMessage="1" sqref="G214" xr:uid="{00000000-0002-0000-0600-000000000000}">
      <formula1>$F$214:$F$225</formula1>
    </dataValidation>
  </dataValidations>
  <pageMargins left="0.7" right="0.7" top="0.75" bottom="0.75" header="0.3" footer="0.3"/>
  <pageSetup orientation="portrait" r:id="rId2"/>
  <drawing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tabColor theme="7" tint="-0.249977111117893"/>
  </sheetPr>
  <dimension ref="B1:F20"/>
  <sheetViews>
    <sheetView workbookViewId="0">
      <selection activeCell="C2" sqref="C2:E2"/>
    </sheetView>
  </sheetViews>
  <sheetFormatPr baseColWidth="10" defaultColWidth="14.26953125" defaultRowHeight="13" x14ac:dyDescent="0.3"/>
  <cols>
    <col min="1" max="2" width="14.26953125" style="43"/>
    <col min="3" max="3" width="17" style="43" customWidth="1"/>
    <col min="4" max="4" width="14.26953125" style="43"/>
    <col min="5" max="5" width="46" style="43" customWidth="1"/>
    <col min="6" max="16384" width="14.26953125" style="43"/>
  </cols>
  <sheetData>
    <row r="1" spans="2:6" customFormat="1" ht="6" customHeight="1" x14ac:dyDescent="0.35"/>
    <row r="2" spans="2:6" s="38" customFormat="1" ht="42.75" customHeight="1" x14ac:dyDescent="0.35">
      <c r="B2" s="132"/>
      <c r="C2" s="376" t="s">
        <v>191</v>
      </c>
      <c r="D2" s="376"/>
      <c r="E2" s="376"/>
      <c r="F2" s="374" t="s">
        <v>230</v>
      </c>
    </row>
    <row r="3" spans="2:6" s="38" customFormat="1" ht="42.75" customHeight="1" x14ac:dyDescent="0.35">
      <c r="B3" s="133"/>
      <c r="C3" s="347" t="s">
        <v>192</v>
      </c>
      <c r="D3" s="347"/>
      <c r="E3" s="347"/>
      <c r="F3" s="375"/>
    </row>
    <row r="4" spans="2:6" s="38" customFormat="1" ht="7.5" customHeight="1" thickBot="1" x14ac:dyDescent="0.4">
      <c r="B4" s="79"/>
      <c r="C4" s="80"/>
      <c r="D4" s="80"/>
      <c r="E4" s="81"/>
    </row>
    <row r="5" spans="2:6" ht="24" customHeight="1" thickBot="1" x14ac:dyDescent="0.35">
      <c r="B5" s="377" t="s">
        <v>69</v>
      </c>
      <c r="C5" s="378"/>
      <c r="D5" s="378"/>
      <c r="E5" s="378"/>
      <c r="F5" s="379"/>
    </row>
    <row r="6" spans="2:6" ht="16" thickBot="1" x14ac:dyDescent="0.4">
      <c r="B6" s="44"/>
      <c r="C6" s="44"/>
      <c r="D6" s="44"/>
      <c r="E6" s="44"/>
      <c r="F6" s="44"/>
    </row>
    <row r="7" spans="2:6" ht="16" thickBot="1" x14ac:dyDescent="0.35">
      <c r="B7" s="366" t="s">
        <v>55</v>
      </c>
      <c r="C7" s="367"/>
      <c r="D7" s="367"/>
      <c r="E7" s="56" t="s">
        <v>56</v>
      </c>
      <c r="F7" s="57" t="s">
        <v>57</v>
      </c>
    </row>
    <row r="8" spans="2:6" ht="31" x14ac:dyDescent="0.3">
      <c r="B8" s="368" t="s">
        <v>58</v>
      </c>
      <c r="C8" s="370" t="s">
        <v>12</v>
      </c>
      <c r="D8" s="45" t="s">
        <v>13</v>
      </c>
      <c r="E8" s="46" t="s">
        <v>59</v>
      </c>
      <c r="F8" s="47">
        <v>0.25</v>
      </c>
    </row>
    <row r="9" spans="2:6" ht="46.5" x14ac:dyDescent="0.3">
      <c r="B9" s="369"/>
      <c r="C9" s="371"/>
      <c r="D9" s="48" t="s">
        <v>14</v>
      </c>
      <c r="E9" s="49" t="s">
        <v>60</v>
      </c>
      <c r="F9" s="50">
        <v>0.15</v>
      </c>
    </row>
    <row r="10" spans="2:6" ht="46.5" x14ac:dyDescent="0.3">
      <c r="B10" s="369"/>
      <c r="C10" s="371"/>
      <c r="D10" s="48" t="s">
        <v>15</v>
      </c>
      <c r="E10" s="49" t="s">
        <v>61</v>
      </c>
      <c r="F10" s="50">
        <v>0.1</v>
      </c>
    </row>
    <row r="11" spans="2:6" ht="62" x14ac:dyDescent="0.3">
      <c r="B11" s="369"/>
      <c r="C11" s="371" t="s">
        <v>16</v>
      </c>
      <c r="D11" s="48" t="s">
        <v>10</v>
      </c>
      <c r="E11" s="49" t="s">
        <v>62</v>
      </c>
      <c r="F11" s="50">
        <v>0.25</v>
      </c>
    </row>
    <row r="12" spans="2:6" ht="31" x14ac:dyDescent="0.3">
      <c r="B12" s="369"/>
      <c r="C12" s="371"/>
      <c r="D12" s="48" t="s">
        <v>9</v>
      </c>
      <c r="E12" s="49" t="s">
        <v>63</v>
      </c>
      <c r="F12" s="50">
        <v>0.15</v>
      </c>
    </row>
    <row r="13" spans="2:6" ht="46.5" x14ac:dyDescent="0.3">
      <c r="B13" s="369" t="s">
        <v>146</v>
      </c>
      <c r="C13" s="371" t="s">
        <v>17</v>
      </c>
      <c r="D13" s="48" t="s">
        <v>18</v>
      </c>
      <c r="E13" s="49" t="s">
        <v>64</v>
      </c>
      <c r="F13" s="51" t="s">
        <v>65</v>
      </c>
    </row>
    <row r="14" spans="2:6" ht="46.5" x14ac:dyDescent="0.3">
      <c r="B14" s="369"/>
      <c r="C14" s="371"/>
      <c r="D14" s="48" t="s">
        <v>19</v>
      </c>
      <c r="E14" s="49" t="s">
        <v>66</v>
      </c>
      <c r="F14" s="51" t="s">
        <v>65</v>
      </c>
    </row>
    <row r="15" spans="2:6" ht="46.5" x14ac:dyDescent="0.3">
      <c r="B15" s="369"/>
      <c r="C15" s="371" t="s">
        <v>20</v>
      </c>
      <c r="D15" s="48" t="s">
        <v>21</v>
      </c>
      <c r="E15" s="49" t="s">
        <v>67</v>
      </c>
      <c r="F15" s="51" t="s">
        <v>65</v>
      </c>
    </row>
    <row r="16" spans="2:6" ht="46.5" x14ac:dyDescent="0.3">
      <c r="B16" s="369"/>
      <c r="C16" s="371"/>
      <c r="D16" s="48" t="s">
        <v>22</v>
      </c>
      <c r="E16" s="49" t="s">
        <v>68</v>
      </c>
      <c r="F16" s="51" t="s">
        <v>65</v>
      </c>
    </row>
    <row r="17" spans="2:6" ht="31" x14ac:dyDescent="0.3">
      <c r="B17" s="369"/>
      <c r="C17" s="371" t="s">
        <v>23</v>
      </c>
      <c r="D17" s="48" t="s">
        <v>109</v>
      </c>
      <c r="E17" s="49" t="s">
        <v>112</v>
      </c>
      <c r="F17" s="51" t="s">
        <v>65</v>
      </c>
    </row>
    <row r="18" spans="2:6" ht="16" thickBot="1" x14ac:dyDescent="0.35">
      <c r="B18" s="372"/>
      <c r="C18" s="373"/>
      <c r="D18" s="52" t="s">
        <v>110</v>
      </c>
      <c r="E18" s="53" t="s">
        <v>111</v>
      </c>
      <c r="F18" s="54" t="s">
        <v>65</v>
      </c>
    </row>
    <row r="19" spans="2:6" ht="49.5" customHeight="1" x14ac:dyDescent="0.3">
      <c r="B19" s="365" t="s">
        <v>144</v>
      </c>
      <c r="C19" s="365"/>
      <c r="D19" s="365"/>
      <c r="E19" s="365"/>
      <c r="F19" s="365"/>
    </row>
    <row r="20" spans="2:6" ht="27" customHeight="1" x14ac:dyDescent="0.3">
      <c r="B20" s="55"/>
    </row>
  </sheetData>
  <mergeCells count="14">
    <mergeCell ref="B2:B3"/>
    <mergeCell ref="F2:F3"/>
    <mergeCell ref="C2:E2"/>
    <mergeCell ref="C3:E3"/>
    <mergeCell ref="B5:F5"/>
    <mergeCell ref="B19:F19"/>
    <mergeCell ref="B7:D7"/>
    <mergeCell ref="B8:B12"/>
    <mergeCell ref="C8:C10"/>
    <mergeCell ref="C11:C12"/>
    <mergeCell ref="B13:B18"/>
    <mergeCell ref="C13:C14"/>
    <mergeCell ref="C15:C16"/>
    <mergeCell ref="C17:C1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B2:E19"/>
  <sheetViews>
    <sheetView topLeftCell="A4" workbookViewId="0">
      <selection activeCell="B13" sqref="B13:B19"/>
    </sheetView>
  </sheetViews>
  <sheetFormatPr baseColWidth="10" defaultRowHeight="14.5" x14ac:dyDescent="0.35"/>
  <sheetData>
    <row r="2" spans="2:5" x14ac:dyDescent="0.35">
      <c r="B2" t="s">
        <v>29</v>
      </c>
      <c r="E2" t="s">
        <v>122</v>
      </c>
    </row>
    <row r="3" spans="2:5" x14ac:dyDescent="0.35">
      <c r="B3" t="s">
        <v>30</v>
      </c>
      <c r="E3" t="s">
        <v>121</v>
      </c>
    </row>
    <row r="4" spans="2:5" x14ac:dyDescent="0.35">
      <c r="B4" t="s">
        <v>125</v>
      </c>
      <c r="E4" t="s">
        <v>123</v>
      </c>
    </row>
    <row r="5" spans="2:5" x14ac:dyDescent="0.35">
      <c r="B5" t="s">
        <v>124</v>
      </c>
    </row>
    <row r="8" spans="2:5" x14ac:dyDescent="0.35">
      <c r="B8" t="s">
        <v>77</v>
      </c>
    </row>
    <row r="9" spans="2:5" x14ac:dyDescent="0.35">
      <c r="B9" t="s">
        <v>33</v>
      </c>
    </row>
    <row r="10" spans="2:5" x14ac:dyDescent="0.35">
      <c r="B10" t="s">
        <v>34</v>
      </c>
    </row>
    <row r="13" spans="2:5" x14ac:dyDescent="0.35">
      <c r="B13" t="s">
        <v>119</v>
      </c>
    </row>
    <row r="14" spans="2:5" x14ac:dyDescent="0.35">
      <c r="B14" t="s">
        <v>113</v>
      </c>
    </row>
    <row r="15" spans="2:5" x14ac:dyDescent="0.35">
      <c r="B15" t="s">
        <v>116</v>
      </c>
    </row>
    <row r="16" spans="2:5" x14ac:dyDescent="0.35">
      <c r="B16" t="s">
        <v>114</v>
      </c>
    </row>
    <row r="17" spans="2:2" x14ac:dyDescent="0.35">
      <c r="B17" t="s">
        <v>115</v>
      </c>
    </row>
    <row r="18" spans="2:2" x14ac:dyDescent="0.35">
      <c r="B18" t="s">
        <v>117</v>
      </c>
    </row>
    <row r="19" spans="2:2" x14ac:dyDescent="0.35">
      <c r="B19" t="s">
        <v>118</v>
      </c>
    </row>
  </sheetData>
  <sortState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9"/>
  <dimension ref="A3:A21"/>
  <sheetViews>
    <sheetView workbookViewId="0">
      <selection activeCell="A19" sqref="A19"/>
    </sheetView>
  </sheetViews>
  <sheetFormatPr baseColWidth="10" defaultColWidth="11.453125" defaultRowHeight="13" x14ac:dyDescent="0.3"/>
  <cols>
    <col min="1" max="1" width="32.81640625" style="7" customWidth="1"/>
    <col min="2" max="16384" width="11.453125" style="7"/>
  </cols>
  <sheetData>
    <row r="3" spans="1:1" x14ac:dyDescent="0.3">
      <c r="A3" s="8" t="s">
        <v>13</v>
      </c>
    </row>
    <row r="4" spans="1:1" x14ac:dyDescent="0.3">
      <c r="A4" s="8" t="s">
        <v>14</v>
      </c>
    </row>
    <row r="5" spans="1:1" x14ac:dyDescent="0.3">
      <c r="A5" s="8" t="s">
        <v>15</v>
      </c>
    </row>
    <row r="6" spans="1:1" x14ac:dyDescent="0.3">
      <c r="A6" s="8" t="s">
        <v>10</v>
      </c>
    </row>
    <row r="7" spans="1:1" x14ac:dyDescent="0.3">
      <c r="A7" s="8" t="s">
        <v>9</v>
      </c>
    </row>
    <row r="8" spans="1:1" x14ac:dyDescent="0.3">
      <c r="A8" s="8" t="s">
        <v>18</v>
      </c>
    </row>
    <row r="9" spans="1:1" x14ac:dyDescent="0.3">
      <c r="A9" s="8" t="s">
        <v>19</v>
      </c>
    </row>
    <row r="10" spans="1:1" x14ac:dyDescent="0.3">
      <c r="A10" s="8" t="s">
        <v>21</v>
      </c>
    </row>
    <row r="11" spans="1:1" x14ac:dyDescent="0.3">
      <c r="A11" s="8" t="s">
        <v>22</v>
      </c>
    </row>
    <row r="12" spans="1:1" x14ac:dyDescent="0.3">
      <c r="A12" s="8" t="s">
        <v>24</v>
      </c>
    </row>
    <row r="13" spans="1:1" x14ac:dyDescent="0.3">
      <c r="A13" s="8" t="s">
        <v>25</v>
      </c>
    </row>
    <row r="14" spans="1:1" x14ac:dyDescent="0.3">
      <c r="A14" s="8" t="s">
        <v>26</v>
      </c>
    </row>
    <row r="16" spans="1:1" x14ac:dyDescent="0.3">
      <c r="A16" s="8" t="s">
        <v>28</v>
      </c>
    </row>
    <row r="17" spans="1:1" x14ac:dyDescent="0.3">
      <c r="A17" s="8" t="s">
        <v>29</v>
      </c>
    </row>
    <row r="18" spans="1:1" x14ac:dyDescent="0.3">
      <c r="A18" s="8" t="s">
        <v>30</v>
      </c>
    </row>
    <row r="20" spans="1:1" x14ac:dyDescent="0.3">
      <c r="A20" s="8" t="s">
        <v>33</v>
      </c>
    </row>
    <row r="21" spans="1:1" x14ac:dyDescent="0.3">
      <c r="A21" s="8"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959be62-3a60-4bcf-a545-dce96c6e539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A33DBF335282F48A5F9B014D46D005A" ma:contentTypeVersion="12" ma:contentTypeDescription="Crear nuevo documento." ma:contentTypeScope="" ma:versionID="ec79dae045a172131217dbbd6ba9a92e">
  <xsd:schema xmlns:xsd="http://www.w3.org/2001/XMLSchema" xmlns:xs="http://www.w3.org/2001/XMLSchema" xmlns:p="http://schemas.microsoft.com/office/2006/metadata/properties" xmlns:ns3="7959be62-3a60-4bcf-a545-dce96c6e5397" targetNamespace="http://schemas.microsoft.com/office/2006/metadata/properties" ma:root="true" ma:fieldsID="e8210fd1887dc91a3888969c00c9b34c" ns3:_="">
    <xsd:import namespace="7959be62-3a60-4bcf-a545-dce96c6e5397"/>
    <xsd:element name="properties">
      <xsd:complexType>
        <xsd:sequence>
          <xsd:element name="documentManagement">
            <xsd:complexType>
              <xsd:all>
                <xsd:element ref="ns3:MediaServiceMetadata" minOccurs="0"/>
                <xsd:element ref="ns3:MediaServiceFastMetadata" minOccurs="0"/>
                <xsd:element ref="ns3:_activity" minOccurs="0"/>
                <xsd:element ref="ns3:MediaServiceObjectDetectorVersions"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DateTaken" minOccurs="0"/>
                <xsd:element ref="ns3:MediaServiceLocation"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59be62-3a60-4bcf-a545-dce96c6e53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SystemTags" ma:index="19"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E2FD6E1-00CC-4180-8EEF-F8E96B92D4BC}">
  <ds:schemaRefs>
    <ds:schemaRef ds:uri="http://purl.org/dc/elements/1.1/"/>
    <ds:schemaRef ds:uri="http://purl.org/dc/dcmitype/"/>
    <ds:schemaRef ds:uri="http://schemas.openxmlformats.org/package/2006/metadata/core-properties"/>
    <ds:schemaRef ds:uri="http://schemas.microsoft.com/office/2006/documentManagement/types"/>
    <ds:schemaRef ds:uri="7959be62-3a60-4bcf-a545-dce96c6e5397"/>
    <ds:schemaRef ds:uri="http://purl.org/dc/terms/"/>
    <ds:schemaRef ds:uri="http://schemas.microsoft.com/office/infopath/2007/PartnerControls"/>
    <ds:schemaRef ds:uri="http://schemas.microsoft.com/office/2006/metadata/properties"/>
    <ds:schemaRef ds:uri="http://www.w3.org/XML/1998/namespace"/>
  </ds:schemaRefs>
</ds:datastoreItem>
</file>

<file path=customXml/itemProps2.xml><?xml version="1.0" encoding="utf-8"?>
<ds:datastoreItem xmlns:ds="http://schemas.openxmlformats.org/officeDocument/2006/customXml" ds:itemID="{3C6CEB46-1866-4555-88C3-E35E203C369A}">
  <ds:schemaRefs>
    <ds:schemaRef ds:uri="http://schemas.microsoft.com/sharepoint/v3/contenttype/forms"/>
  </ds:schemaRefs>
</ds:datastoreItem>
</file>

<file path=customXml/itemProps3.xml><?xml version="1.0" encoding="utf-8"?>
<ds:datastoreItem xmlns:ds="http://schemas.openxmlformats.org/officeDocument/2006/customXml" ds:itemID="{8E58ABC6-6CD4-4EF9-9A53-93E887DCD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59be62-3a60-4bcf-a545-dce96c6e53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2</vt:i4>
      </vt:variant>
    </vt:vector>
  </HeadingPairs>
  <TitlesOfParts>
    <vt:vector size="12" baseType="lpstr">
      <vt:lpstr>Instructivo</vt:lpstr>
      <vt:lpstr>Mapa inherente</vt:lpstr>
      <vt:lpstr>Matriz Calor Inherente</vt:lpstr>
      <vt:lpstr>Hoja de controles</vt:lpstr>
      <vt:lpstr>Hoja2</vt:lpstr>
      <vt:lpstr>Tabla probabilidad</vt:lpstr>
      <vt:lpstr>Tabla Impacto</vt:lpstr>
      <vt:lpstr>Tabla Valoración controles</vt:lpstr>
      <vt:lpstr>Opciones Tratamiento</vt:lpstr>
      <vt:lpstr>Hoja1</vt:lpstr>
      <vt:lpstr>'Hoja de controles'!Área_de_impresión</vt:lpstr>
      <vt:lpstr>'Mapa inherente'!Área_de_impresión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unicordoba</cp:lastModifiedBy>
  <cp:lastPrinted>2023-11-06T20:27:14Z</cp:lastPrinted>
  <dcterms:created xsi:type="dcterms:W3CDTF">2020-03-24T23:12:47Z</dcterms:created>
  <dcterms:modified xsi:type="dcterms:W3CDTF">2024-05-09T15:13:31Z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0x010100AA33DBF335282F48A5F9B014D46D005A</vt:lpwstr>
  </property>
</Properties>
</file>