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650" activeTab="0"/>
  </bookViews>
  <sheets>
    <sheet name="Formato Solicitud" sheetId="1" r:id="rId1"/>
    <sheet name="DV-IDENTITY-0" sheetId="2" state="veryHidden" r:id="rId2"/>
  </sheets>
  <definedNames>
    <definedName name="_xlnm.Print_Area" localSheetId="0">'Formato Solicitud'!$A$1:$Q$38</definedName>
  </definedNames>
  <calcPr fullCalcOnLoad="1"/>
</workbook>
</file>

<file path=xl/sharedStrings.xml><?xml version="1.0" encoding="utf-8"?>
<sst xmlns="http://schemas.openxmlformats.org/spreadsheetml/2006/main" count="48" uniqueCount="47">
  <si>
    <t>Nombre:</t>
  </si>
  <si>
    <t>Cédula:</t>
  </si>
  <si>
    <t>Cargo:</t>
  </si>
  <si>
    <t>Dependencia:</t>
  </si>
  <si>
    <t>TIPO SERVICIO SOLICITADO</t>
  </si>
  <si>
    <t>Marque con una X el servicio requerido</t>
  </si>
  <si>
    <t>UNIVERSIDAD DE CÓRDOBA</t>
  </si>
  <si>
    <t>Descripción de la Solicitud:</t>
  </si>
  <si>
    <t>ALBAÑILERÍA</t>
  </si>
  <si>
    <t>CERRAJERÍA</t>
  </si>
  <si>
    <t>ELECTRICIDAD</t>
  </si>
  <si>
    <t>PINTURA</t>
  </si>
  <si>
    <t>ASEO Y LIMPIEZA</t>
  </si>
  <si>
    <t>FUMIGACIÓN</t>
  </si>
  <si>
    <t>EQUIPOS DE REFRIGERACIÓN</t>
  </si>
  <si>
    <t>TRANSPORTE</t>
  </si>
  <si>
    <t>Fecha Recepción:</t>
  </si>
  <si>
    <t xml:space="preserve">FORMATO SOLICITUD DE SERVICIOS </t>
  </si>
  <si>
    <t>RED INTERNA DE COMUNICACIÓN</t>
  </si>
  <si>
    <t>Solicitante:</t>
  </si>
  <si>
    <t>INFORMACIÓN DEL SOLICITANTE</t>
  </si>
  <si>
    <t>Hora:</t>
  </si>
  <si>
    <t>MANTENIMIENTO O REPARACIÓN DE MOBILIARIO.</t>
  </si>
  <si>
    <t>OBSERVACIONES:</t>
  </si>
  <si>
    <t>AAAAAG+rnvM=</t>
  </si>
  <si>
    <t>AAAAAG+rnvQ=</t>
  </si>
  <si>
    <t>CARPINTERÍA</t>
  </si>
  <si>
    <t>COMBUSTIBLE</t>
  </si>
  <si>
    <t>Cuál:</t>
  </si>
  <si>
    <t>PLOMERÍA</t>
  </si>
  <si>
    <t>OTROS</t>
  </si>
  <si>
    <t>Tipo Recepción:</t>
  </si>
  <si>
    <t>Fecha de Solicitud:</t>
  </si>
  <si>
    <t>FIRMA</t>
  </si>
  <si>
    <r>
      <t xml:space="preserve">OTROS (Menciónelo) </t>
    </r>
    <r>
      <rPr>
        <sz val="11"/>
        <color indexed="22"/>
        <rFont val="Tahoma"/>
        <family val="2"/>
      </rPr>
      <t>15</t>
    </r>
  </si>
  <si>
    <t>MANTENIMIENTO O CALIBRACIÓN DE EQUIPOS DE LABORATORIO</t>
  </si>
  <si>
    <t>Número de Teléfono:</t>
  </si>
  <si>
    <t>Correo Electrónico:</t>
  </si>
  <si>
    <r>
      <t xml:space="preserve">SERVICIO NO AUTORIZADO:                    </t>
    </r>
    <r>
      <rPr>
        <sz val="11"/>
        <rFont val="Tahoma"/>
        <family val="2"/>
      </rPr>
      <t xml:space="preserve">      </t>
    </r>
    <r>
      <rPr>
        <b/>
        <sz val="11"/>
        <rFont val="Tahoma"/>
        <family val="2"/>
      </rPr>
      <t xml:space="preserve">                                   </t>
    </r>
    <r>
      <rPr>
        <sz val="11"/>
        <rFont val="Tahoma"/>
        <family val="2"/>
      </rPr>
      <t xml:space="preserve"> </t>
    </r>
  </si>
  <si>
    <t>Motivo:</t>
  </si>
  <si>
    <t xml:space="preserve">SERVICIO PRORROGADO:              Fecha prorroga:      </t>
  </si>
  <si>
    <t>No. Servicio</t>
  </si>
  <si>
    <t>Esta casilla es para uso exclusivo de la Dirección de Apoyo Logístico</t>
  </si>
  <si>
    <t>Trámite de la Dirección de Apoyo Logístico</t>
  </si>
  <si>
    <r>
      <rPr>
        <b/>
        <sz val="11"/>
        <rFont val="Tahoma"/>
        <family val="2"/>
      </rPr>
      <t>PROFESIONAL DE INFRAESTRUCTURA:</t>
    </r>
    <r>
      <rPr>
        <sz val="11"/>
        <rFont val="Tahoma"/>
        <family val="2"/>
      </rPr>
      <t xml:space="preserve">                                                </t>
    </r>
    <r>
      <rPr>
        <b/>
        <sz val="11"/>
        <rFont val="Tahoma"/>
        <family val="2"/>
      </rPr>
      <t>FIRMA:</t>
    </r>
  </si>
  <si>
    <t>Espacio de uso exclusivo de la Dirección de Apoyo Logístico</t>
  </si>
  <si>
    <r>
      <t xml:space="preserve">CÓDIGO: 
</t>
    </r>
    <r>
      <rPr>
        <sz val="9"/>
        <rFont val="Tahoma"/>
        <family val="2"/>
      </rPr>
      <t>FINF-002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07</t>
    </r>
    <r>
      <rPr>
        <b/>
        <sz val="9"/>
        <rFont val="Tahoma"/>
        <family val="2"/>
      </rPr>
      <t xml:space="preserve">
EMISIÓN: 
</t>
    </r>
    <r>
      <rPr>
        <sz val="9"/>
        <rFont val="Tahoma"/>
        <family val="2"/>
      </rPr>
      <t>13/05/2022</t>
    </r>
    <r>
      <rPr>
        <b/>
        <sz val="9"/>
        <rFont val="Tahoma"/>
        <family val="2"/>
      </rPr>
      <t xml:space="preserve">
PÁGINA
</t>
    </r>
    <r>
      <rPr>
        <sz val="9"/>
        <rFont val="Tahoma"/>
        <family val="2"/>
      </rPr>
      <t xml:space="preserve">1 </t>
    </r>
    <r>
      <rPr>
        <b/>
        <sz val="9"/>
        <rFont val="Tahoma"/>
        <family val="2"/>
      </rPr>
      <t>DE</t>
    </r>
    <r>
      <rPr>
        <sz val="9"/>
        <rFont val="Tahoma"/>
        <family val="2"/>
      </rPr>
      <t xml:space="preserve"> 1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</si>
</sst>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₡&quot;#,##0_);\(&quot;₡&quot;#,##0\)"/>
    <numFmt numFmtId="195" formatCode="&quot;₡&quot;#,##0_);[Red]\(&quot;₡&quot;#,##0\)"/>
    <numFmt numFmtId="196" formatCode="&quot;₡&quot;#,##0.00_);\(&quot;₡&quot;#,##0.00\)"/>
    <numFmt numFmtId="197" formatCode="&quot;₡&quot;#,##0.00_);[Red]\(&quot;₡&quot;#,##0.00\)"/>
    <numFmt numFmtId="198" formatCode="_(&quot;₡&quot;* #,##0_);_(&quot;₡&quot;* \(#,##0\);_(&quot;₡&quot;* &quot;-&quot;_);_(@_)"/>
    <numFmt numFmtId="199" formatCode="_(&quot;₡&quot;* #,##0.00_);_(&quot;₡&quot;* \(#,##0.00\);_(&quot;₡&quot;* &quot;-&quot;??_);_(@_)"/>
    <numFmt numFmtId="200" formatCode="_ [$€]\ * #,##0.00_ ;_ [$€]\ * \-#,##0.00_ ;_ [$€]\ * &quot;-&quot;??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22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b/>
      <sz val="9"/>
      <color indexed="8"/>
      <name val="Verdana"/>
      <family val="2"/>
    </font>
    <font>
      <b/>
      <sz val="10.5"/>
      <color indexed="8"/>
      <name val="Tahoma"/>
      <family val="2"/>
    </font>
    <font>
      <sz val="11"/>
      <color theme="0" tint="-0.1499900072813034"/>
      <name val="Tahoma"/>
      <family val="2"/>
    </font>
    <font>
      <sz val="11"/>
      <color theme="1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200" fontId="0" fillId="0" borderId="0" applyFont="0" applyFill="0" applyBorder="0" applyAlignment="0" applyProtection="0"/>
    <xf numFmtId="0" fontId="10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52">
      <alignment/>
      <protection/>
    </xf>
    <xf numFmtId="0" fontId="21" fillId="0" borderId="10" xfId="0" applyFont="1" applyBorder="1" applyAlignment="1">
      <alignment horizontal="center" vertical="center"/>
    </xf>
    <xf numFmtId="3" fontId="20" fillId="24" borderId="10" xfId="0" applyNumberFormat="1" applyFont="1" applyFill="1" applyBorder="1" applyAlignment="1" applyProtection="1">
      <alignment vertical="center"/>
      <protection locked="0"/>
    </xf>
    <xf numFmtId="0" fontId="32" fillId="25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vertical="center" wrapText="1"/>
    </xf>
    <xf numFmtId="0" fontId="27" fillId="0" borderId="10" xfId="52" applyNumberFormat="1" applyFont="1" applyBorder="1" applyAlignment="1">
      <alignment horizontal="center" vertical="center" wrapText="1"/>
      <protection/>
    </xf>
    <xf numFmtId="0" fontId="25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NumberFormat="1" applyFont="1" applyBorder="1" applyAlignment="1">
      <alignment horizontal="center" vertical="center" wrapText="1"/>
      <protection/>
    </xf>
    <xf numFmtId="0" fontId="19" fillId="0" borderId="10" xfId="52" applyNumberFormat="1" applyFont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25" borderId="11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21" fillId="26" borderId="15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1" fillId="0" borderId="13" xfId="0" applyFont="1" applyBorder="1" applyAlignment="1">
      <alignment horizontal="left" vertical="center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21" fillId="26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2</xdr:col>
      <xdr:colOff>200025</xdr:colOff>
      <xdr:row>1</xdr:row>
      <xdr:rowOff>485775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19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32</xdr:row>
      <xdr:rowOff>57150</xdr:rowOff>
    </xdr:from>
    <xdr:to>
      <xdr:col>8</xdr:col>
      <xdr:colOff>142875</xdr:colOff>
      <xdr:row>32</xdr:row>
      <xdr:rowOff>238125</xdr:rowOff>
    </xdr:to>
    <xdr:sp>
      <xdr:nvSpPr>
        <xdr:cNvPr id="2" name="4 CuadroTexto"/>
        <xdr:cNvSpPr txBox="1">
          <a:spLocks noChangeArrowheads="1"/>
        </xdr:cNvSpPr>
      </xdr:nvSpPr>
      <xdr:spPr>
        <a:xfrm rot="10800000" flipV="1">
          <a:off x="1905000" y="86868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18</xdr:col>
      <xdr:colOff>47625</xdr:colOff>
      <xdr:row>34</xdr:row>
      <xdr:rowOff>57150</xdr:rowOff>
    </xdr:from>
    <xdr:to>
      <xdr:col>19</xdr:col>
      <xdr:colOff>495300</xdr:colOff>
      <xdr:row>34</xdr:row>
      <xdr:rowOff>219075</xdr:rowOff>
    </xdr:to>
    <xdr:sp>
      <xdr:nvSpPr>
        <xdr:cNvPr id="3" name="7 CuadroTexto"/>
        <xdr:cNvSpPr txBox="1">
          <a:spLocks noChangeArrowheads="1"/>
        </xdr:cNvSpPr>
      </xdr:nvSpPr>
      <xdr:spPr>
        <a:xfrm rot="10800000" flipV="1">
          <a:off x="8220075" y="9182100"/>
          <a:ext cx="1209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47625</xdr:rowOff>
    </xdr:from>
    <xdr:to>
      <xdr:col>10</xdr:col>
      <xdr:colOff>57150</xdr:colOff>
      <xdr:row>33</xdr:row>
      <xdr:rowOff>209550</xdr:rowOff>
    </xdr:to>
    <xdr:sp>
      <xdr:nvSpPr>
        <xdr:cNvPr id="4" name="9 CuadroTexto"/>
        <xdr:cNvSpPr txBox="1">
          <a:spLocks noChangeArrowheads="1"/>
        </xdr:cNvSpPr>
      </xdr:nvSpPr>
      <xdr:spPr>
        <a:xfrm rot="10800000" flipV="1">
          <a:off x="914400" y="8924925"/>
          <a:ext cx="1866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FALTA</a:t>
          </a:r>
          <a:r>
            <a:rPr lang="en-US" cap="none" sz="105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DE MATERIALES</a:t>
          </a:r>
        </a:p>
      </xdr:txBody>
    </xdr:sp>
    <xdr:clientData/>
  </xdr:twoCellAnchor>
  <xdr:twoCellAnchor>
    <xdr:from>
      <xdr:col>10</xdr:col>
      <xdr:colOff>619125</xdr:colOff>
      <xdr:row>33</xdr:row>
      <xdr:rowOff>47625</xdr:rowOff>
    </xdr:from>
    <xdr:to>
      <xdr:col>14</xdr:col>
      <xdr:colOff>647700</xdr:colOff>
      <xdr:row>33</xdr:row>
      <xdr:rowOff>209550</xdr:rowOff>
    </xdr:to>
    <xdr:sp>
      <xdr:nvSpPr>
        <xdr:cNvPr id="5" name="10 CuadroTexto"/>
        <xdr:cNvSpPr txBox="1">
          <a:spLocks noChangeArrowheads="1"/>
        </xdr:cNvSpPr>
      </xdr:nvSpPr>
      <xdr:spPr>
        <a:xfrm rot="10800000" flipV="1">
          <a:off x="3343275" y="8924925"/>
          <a:ext cx="1619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FALTA</a:t>
          </a:r>
          <a:r>
            <a:rPr lang="en-US" cap="none" sz="105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DE PERSONAL</a:t>
          </a:r>
        </a:p>
      </xdr:txBody>
    </xdr:sp>
    <xdr:clientData/>
  </xdr:twoCellAnchor>
  <xdr:twoCellAnchor>
    <xdr:from>
      <xdr:col>14</xdr:col>
      <xdr:colOff>619125</xdr:colOff>
      <xdr:row>33</xdr:row>
      <xdr:rowOff>28575</xdr:rowOff>
    </xdr:from>
    <xdr:to>
      <xdr:col>14</xdr:col>
      <xdr:colOff>847725</xdr:colOff>
      <xdr:row>33</xdr:row>
      <xdr:rowOff>209550</xdr:rowOff>
    </xdr:to>
    <xdr:sp fLocksText="0">
      <xdr:nvSpPr>
        <xdr:cNvPr id="6" name="13 CuadroTexto"/>
        <xdr:cNvSpPr txBox="1">
          <a:spLocks noChangeArrowheads="1"/>
        </xdr:cNvSpPr>
      </xdr:nvSpPr>
      <xdr:spPr>
        <a:xfrm flipV="1">
          <a:off x="4933950" y="89058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33</xdr:row>
      <xdr:rowOff>47625</xdr:rowOff>
    </xdr:from>
    <xdr:to>
      <xdr:col>16</xdr:col>
      <xdr:colOff>628650</xdr:colOff>
      <xdr:row>33</xdr:row>
      <xdr:rowOff>190500</xdr:rowOff>
    </xdr:to>
    <xdr:sp>
      <xdr:nvSpPr>
        <xdr:cNvPr id="7" name="14 CuadroTexto"/>
        <xdr:cNvSpPr txBox="1">
          <a:spLocks noChangeArrowheads="1"/>
        </xdr:cNvSpPr>
      </xdr:nvSpPr>
      <xdr:spPr>
        <a:xfrm rot="10800000" flipV="1">
          <a:off x="5457825" y="8924925"/>
          <a:ext cx="1352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OTRO</a:t>
          </a:r>
        </a:p>
      </xdr:txBody>
    </xdr:sp>
    <xdr:clientData/>
  </xdr:twoCellAnchor>
  <xdr:twoCellAnchor>
    <xdr:from>
      <xdr:col>7</xdr:col>
      <xdr:colOff>171450</xdr:colOff>
      <xdr:row>32</xdr:row>
      <xdr:rowOff>57150</xdr:rowOff>
    </xdr:from>
    <xdr:to>
      <xdr:col>8</xdr:col>
      <xdr:colOff>133350</xdr:colOff>
      <xdr:row>32</xdr:row>
      <xdr:rowOff>219075</xdr:rowOff>
    </xdr:to>
    <xdr:sp>
      <xdr:nvSpPr>
        <xdr:cNvPr id="8" name="17 CuadroTexto"/>
        <xdr:cNvSpPr txBox="1">
          <a:spLocks noChangeArrowheads="1"/>
        </xdr:cNvSpPr>
      </xdr:nvSpPr>
      <xdr:spPr>
        <a:xfrm rot="10800000" flipV="1">
          <a:off x="2143125" y="86868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32</xdr:row>
      <xdr:rowOff>57150</xdr:rowOff>
    </xdr:from>
    <xdr:to>
      <xdr:col>8</xdr:col>
      <xdr:colOff>190500</xdr:colOff>
      <xdr:row>32</xdr:row>
      <xdr:rowOff>238125</xdr:rowOff>
    </xdr:to>
    <xdr:sp fLocksText="0">
      <xdr:nvSpPr>
        <xdr:cNvPr id="9" name="19 CuadroTexto"/>
        <xdr:cNvSpPr txBox="1">
          <a:spLocks noChangeArrowheads="1"/>
        </xdr:cNvSpPr>
      </xdr:nvSpPr>
      <xdr:spPr>
        <a:xfrm flipV="1">
          <a:off x="2143125" y="86868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32</xdr:row>
      <xdr:rowOff>38100</xdr:rowOff>
    </xdr:from>
    <xdr:to>
      <xdr:col>14</xdr:col>
      <xdr:colOff>352425</xdr:colOff>
      <xdr:row>32</xdr:row>
      <xdr:rowOff>238125</xdr:rowOff>
    </xdr:to>
    <xdr:sp fLocksText="0">
      <xdr:nvSpPr>
        <xdr:cNvPr id="10" name="26 CuadroTexto"/>
        <xdr:cNvSpPr txBox="1">
          <a:spLocks noChangeArrowheads="1"/>
        </xdr:cNvSpPr>
      </xdr:nvSpPr>
      <xdr:spPr>
        <a:xfrm flipV="1">
          <a:off x="4438650" y="86677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895350</xdr:colOff>
      <xdr:row>33</xdr:row>
      <xdr:rowOff>28575</xdr:rowOff>
    </xdr:from>
    <xdr:to>
      <xdr:col>16</xdr:col>
      <xdr:colOff>104775</xdr:colOff>
      <xdr:row>33</xdr:row>
      <xdr:rowOff>209550</xdr:rowOff>
    </xdr:to>
    <xdr:sp fLocksText="0">
      <xdr:nvSpPr>
        <xdr:cNvPr id="11" name="28 CuadroTexto"/>
        <xdr:cNvSpPr txBox="1">
          <a:spLocks noChangeArrowheads="1"/>
        </xdr:cNvSpPr>
      </xdr:nvSpPr>
      <xdr:spPr>
        <a:xfrm flipV="1">
          <a:off x="6057900" y="89058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28575</xdr:rowOff>
    </xdr:from>
    <xdr:to>
      <xdr:col>10</xdr:col>
      <xdr:colOff>161925</xdr:colOff>
      <xdr:row>33</xdr:row>
      <xdr:rowOff>209550</xdr:rowOff>
    </xdr:to>
    <xdr:sp fLocksText="0">
      <xdr:nvSpPr>
        <xdr:cNvPr id="12" name="29 CuadroTexto"/>
        <xdr:cNvSpPr txBox="1">
          <a:spLocks noChangeArrowheads="1"/>
        </xdr:cNvSpPr>
      </xdr:nvSpPr>
      <xdr:spPr>
        <a:xfrm flipV="1">
          <a:off x="2657475" y="89058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85" workbookViewId="0" topLeftCell="A1">
      <selection activeCell="T8" sqref="T8"/>
    </sheetView>
  </sheetViews>
  <sheetFormatPr defaultColWidth="11.421875" defaultRowHeight="12.75"/>
  <cols>
    <col min="1" max="1" width="3.140625" style="0" customWidth="1"/>
    <col min="2" max="2" width="4.8515625" style="0" customWidth="1"/>
    <col min="3" max="3" width="4.7109375" style="0" customWidth="1"/>
    <col min="4" max="4" width="5.421875" style="0" customWidth="1"/>
    <col min="5" max="5" width="4.421875" style="0" customWidth="1"/>
    <col min="6" max="6" width="3.28125" style="0" customWidth="1"/>
    <col min="7" max="7" width="3.7109375" style="0" customWidth="1"/>
    <col min="8" max="8" width="3.140625" style="0" customWidth="1"/>
    <col min="9" max="9" width="3.8515625" style="0" customWidth="1"/>
    <col min="10" max="10" width="4.28125" style="0" customWidth="1"/>
    <col min="11" max="11" width="9.7109375" style="0" customWidth="1"/>
    <col min="12" max="12" width="7.28125" style="0" customWidth="1"/>
    <col min="13" max="13" width="2.140625" style="0" customWidth="1"/>
    <col min="14" max="14" width="4.7109375" style="0" customWidth="1"/>
    <col min="15" max="15" width="12.7109375" style="0" customWidth="1"/>
    <col min="16" max="16" width="15.28125" style="0" customWidth="1"/>
    <col min="17" max="17" width="18.421875" style="0" customWidth="1"/>
  </cols>
  <sheetData>
    <row r="1" spans="1:17" ht="45" customHeight="1">
      <c r="A1" s="22"/>
      <c r="B1" s="22"/>
      <c r="C1" s="22"/>
      <c r="D1" s="20" t="s">
        <v>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 t="s">
        <v>46</v>
      </c>
    </row>
    <row r="2" spans="1:17" ht="45" customHeight="1">
      <c r="A2" s="22"/>
      <c r="B2" s="22"/>
      <c r="C2" s="22"/>
      <c r="D2" s="21" t="s">
        <v>17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</row>
    <row r="3" spans="1:17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 t="s">
        <v>41</v>
      </c>
      <c r="Q4" s="3"/>
    </row>
    <row r="5" spans="1:17" ht="19.5" customHeight="1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9.5" customHeight="1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 t="s">
        <v>0</v>
      </c>
      <c r="M6" s="16"/>
      <c r="N6" s="16"/>
      <c r="O6" s="16"/>
      <c r="P6" s="16"/>
      <c r="Q6" s="16"/>
    </row>
    <row r="7" spans="1:17" ht="19.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 t="s">
        <v>3</v>
      </c>
      <c r="M7" s="16"/>
      <c r="N7" s="16"/>
      <c r="O7" s="16"/>
      <c r="P7" s="16"/>
      <c r="Q7" s="16"/>
    </row>
    <row r="8" spans="1:17" ht="19.5" customHeight="1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36</v>
      </c>
      <c r="M8" s="8"/>
      <c r="N8" s="8"/>
      <c r="O8" s="8"/>
      <c r="P8" s="8"/>
      <c r="Q8" s="9"/>
    </row>
    <row r="9" spans="1:17" ht="19.5" customHeight="1">
      <c r="A9" s="10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7" ht="19.5" customHeight="1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5" customHeight="1">
      <c r="A11" s="28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30" customHeight="1">
      <c r="A12" s="25" t="s">
        <v>8</v>
      </c>
      <c r="B12" s="26"/>
      <c r="C12" s="26"/>
      <c r="D12" s="27"/>
      <c r="E12" s="4">
        <v>1</v>
      </c>
      <c r="F12" s="25" t="s">
        <v>9</v>
      </c>
      <c r="G12" s="26"/>
      <c r="H12" s="26"/>
      <c r="I12" s="27"/>
      <c r="J12" s="4">
        <v>2</v>
      </c>
      <c r="K12" s="25" t="s">
        <v>26</v>
      </c>
      <c r="L12" s="26"/>
      <c r="M12" s="27"/>
      <c r="N12" s="4">
        <v>3</v>
      </c>
      <c r="O12" s="23" t="s">
        <v>34</v>
      </c>
      <c r="P12" s="24"/>
      <c r="Q12" s="24"/>
    </row>
    <row r="13" spans="1:17" ht="30" customHeight="1">
      <c r="A13" s="25" t="s">
        <v>10</v>
      </c>
      <c r="B13" s="26"/>
      <c r="C13" s="26"/>
      <c r="D13" s="27"/>
      <c r="E13" s="4">
        <v>4</v>
      </c>
      <c r="F13" s="25" t="s">
        <v>11</v>
      </c>
      <c r="G13" s="26"/>
      <c r="H13" s="26"/>
      <c r="I13" s="27"/>
      <c r="J13" s="4">
        <v>5</v>
      </c>
      <c r="K13" s="25" t="s">
        <v>18</v>
      </c>
      <c r="L13" s="26"/>
      <c r="M13" s="27"/>
      <c r="N13" s="4">
        <v>6</v>
      </c>
      <c r="O13" s="34"/>
      <c r="P13" s="34"/>
      <c r="Q13" s="34"/>
    </row>
    <row r="14" spans="1:17" ht="30" customHeight="1">
      <c r="A14" s="25" t="s">
        <v>12</v>
      </c>
      <c r="B14" s="26"/>
      <c r="C14" s="26"/>
      <c r="D14" s="27"/>
      <c r="E14" s="4">
        <v>7</v>
      </c>
      <c r="F14" s="25" t="s">
        <v>13</v>
      </c>
      <c r="G14" s="26"/>
      <c r="H14" s="26"/>
      <c r="I14" s="27"/>
      <c r="J14" s="4">
        <v>8</v>
      </c>
      <c r="K14" s="25" t="s">
        <v>14</v>
      </c>
      <c r="L14" s="26"/>
      <c r="M14" s="27"/>
      <c r="N14" s="4">
        <v>9</v>
      </c>
      <c r="O14" s="34"/>
      <c r="P14" s="34"/>
      <c r="Q14" s="34"/>
    </row>
    <row r="15" spans="1:17" ht="30" customHeight="1">
      <c r="A15" s="18" t="s">
        <v>15</v>
      </c>
      <c r="B15" s="18"/>
      <c r="C15" s="18"/>
      <c r="D15" s="18"/>
      <c r="E15" s="4">
        <v>10</v>
      </c>
      <c r="F15" s="13" t="s">
        <v>35</v>
      </c>
      <c r="G15" s="11"/>
      <c r="H15" s="11"/>
      <c r="I15" s="11"/>
      <c r="J15" s="11"/>
      <c r="K15" s="11"/>
      <c r="L15" s="11"/>
      <c r="M15" s="12"/>
      <c r="N15" s="4">
        <v>11</v>
      </c>
      <c r="O15" s="34"/>
      <c r="P15" s="34"/>
      <c r="Q15" s="34"/>
    </row>
    <row r="16" spans="1:17" ht="30" customHeight="1">
      <c r="A16" s="17" t="s">
        <v>27</v>
      </c>
      <c r="B16" s="17"/>
      <c r="C16" s="17"/>
      <c r="D16" s="17"/>
      <c r="E16" s="4">
        <v>12</v>
      </c>
      <c r="F16" s="13" t="s">
        <v>22</v>
      </c>
      <c r="G16" s="14"/>
      <c r="H16" s="14"/>
      <c r="I16" s="14"/>
      <c r="J16" s="14"/>
      <c r="K16" s="14"/>
      <c r="L16" s="14"/>
      <c r="M16" s="15"/>
      <c r="N16" s="4">
        <v>13</v>
      </c>
      <c r="O16" s="34"/>
      <c r="P16" s="34"/>
      <c r="Q16" s="34"/>
    </row>
    <row r="17" spans="1:17" ht="30" customHeight="1">
      <c r="A17" s="17" t="s">
        <v>29</v>
      </c>
      <c r="B17" s="17"/>
      <c r="C17" s="17"/>
      <c r="D17" s="17"/>
      <c r="E17" s="4">
        <v>14</v>
      </c>
      <c r="F17" s="25" t="s">
        <v>30</v>
      </c>
      <c r="G17" s="39"/>
      <c r="H17" s="39"/>
      <c r="I17" s="39"/>
      <c r="J17" s="39"/>
      <c r="K17" s="39"/>
      <c r="L17" s="39"/>
      <c r="M17" s="40"/>
      <c r="N17" s="4">
        <v>15</v>
      </c>
      <c r="O17" s="34"/>
      <c r="P17" s="34"/>
      <c r="Q17" s="34"/>
    </row>
    <row r="18" spans="1:17" ht="15" customHeight="1">
      <c r="A18" s="51" t="s">
        <v>7</v>
      </c>
      <c r="B18" s="51"/>
      <c r="C18" s="51"/>
      <c r="D18" s="51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</row>
    <row r="19" spans="1:17" ht="15" customHeight="1">
      <c r="A19" s="23"/>
      <c r="B19" s="23"/>
      <c r="C19" s="23"/>
      <c r="D19" s="23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1:17" ht="15" customHeight="1">
      <c r="A20" s="23"/>
      <c r="B20" s="23"/>
      <c r="C20" s="23"/>
      <c r="D20" s="23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5" customHeight="1">
      <c r="A21" s="23"/>
      <c r="B21" s="23"/>
      <c r="C21" s="23"/>
      <c r="D21" s="23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5" customHeight="1">
      <c r="A22" s="23"/>
      <c r="B22" s="23"/>
      <c r="C22" s="23"/>
      <c r="D22" s="23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ht="15" customHeight="1">
      <c r="A23" s="23"/>
      <c r="B23" s="23"/>
      <c r="C23" s="23"/>
      <c r="D23" s="23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ht="15" customHeight="1">
      <c r="A24" s="23"/>
      <c r="B24" s="23"/>
      <c r="C24" s="23"/>
      <c r="D24" s="23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9.5" customHeight="1">
      <c r="A26" s="60" t="s">
        <v>19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41" t="s">
        <v>43</v>
      </c>
      <c r="O26" s="42"/>
      <c r="P26" s="42"/>
      <c r="Q26" s="43"/>
    </row>
    <row r="27" spans="1:17" ht="19.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10" t="s">
        <v>16</v>
      </c>
      <c r="O27" s="12"/>
      <c r="P27" s="60"/>
      <c r="Q27" s="38"/>
    </row>
    <row r="28" spans="1:17" ht="19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73" t="s">
        <v>21</v>
      </c>
      <c r="O28" s="27"/>
      <c r="P28" s="58"/>
      <c r="Q28" s="59"/>
    </row>
    <row r="29" spans="1:17" ht="19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10" t="s">
        <v>0</v>
      </c>
      <c r="O29" s="12"/>
      <c r="P29" s="44"/>
      <c r="Q29" s="44"/>
    </row>
    <row r="30" spans="1:17" ht="19.5" customHeight="1">
      <c r="A30" s="62" t="s">
        <v>33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 t="s">
        <v>31</v>
      </c>
      <c r="O30" s="66"/>
      <c r="P30" s="44"/>
      <c r="Q30" s="44"/>
    </row>
    <row r="31" spans="1:17" ht="15" customHeight="1">
      <c r="A31" s="5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59"/>
    </row>
    <row r="32" spans="1:17" ht="15" customHeight="1">
      <c r="A32" s="70" t="s">
        <v>45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ht="19.5" customHeight="1">
      <c r="A33" s="35" t="s">
        <v>38</v>
      </c>
      <c r="B33" s="36"/>
      <c r="C33" s="36"/>
      <c r="D33" s="36"/>
      <c r="E33" s="36"/>
      <c r="F33" s="36"/>
      <c r="G33" s="36"/>
      <c r="H33" s="36"/>
      <c r="I33" s="69"/>
      <c r="J33" s="35" t="s">
        <v>40</v>
      </c>
      <c r="K33" s="36"/>
      <c r="L33" s="36"/>
      <c r="M33" s="36"/>
      <c r="N33" s="36"/>
      <c r="O33" s="36"/>
      <c r="P33" s="36"/>
      <c r="Q33" s="69"/>
    </row>
    <row r="34" spans="1:17" ht="19.5" customHeight="1">
      <c r="A34" s="35" t="s">
        <v>39</v>
      </c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ht="19.5" customHeight="1">
      <c r="A35" s="35" t="s">
        <v>28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69"/>
    </row>
    <row r="36" spans="1:17" ht="39.75" customHeight="1">
      <c r="A36" s="73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</row>
    <row r="37" spans="1:17" ht="49.5" customHeight="1">
      <c r="A37" s="74" t="s">
        <v>23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.7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8">
    <mergeCell ref="A38:Q38"/>
    <mergeCell ref="A33:I33"/>
    <mergeCell ref="J33:Q33"/>
    <mergeCell ref="A32:Q32"/>
    <mergeCell ref="N28:O28"/>
    <mergeCell ref="P27:Q27"/>
    <mergeCell ref="P30:Q30"/>
    <mergeCell ref="A37:Q37"/>
    <mergeCell ref="A36:Q36"/>
    <mergeCell ref="A35:Q35"/>
    <mergeCell ref="A18:D24"/>
    <mergeCell ref="E18:Q24"/>
    <mergeCell ref="P28:Q28"/>
    <mergeCell ref="A26:M26"/>
    <mergeCell ref="A31:Q31"/>
    <mergeCell ref="A25:Q25"/>
    <mergeCell ref="N29:O29"/>
    <mergeCell ref="N27:O27"/>
    <mergeCell ref="A30:M30"/>
    <mergeCell ref="N30:O30"/>
    <mergeCell ref="A34:C34"/>
    <mergeCell ref="D34:Q34"/>
    <mergeCell ref="A17:D17"/>
    <mergeCell ref="F17:M17"/>
    <mergeCell ref="A14:D14"/>
    <mergeCell ref="F14:I14"/>
    <mergeCell ref="N26:Q26"/>
    <mergeCell ref="P29:Q29"/>
    <mergeCell ref="K14:M14"/>
    <mergeCell ref="A27:M29"/>
    <mergeCell ref="A10:Q10"/>
    <mergeCell ref="K13:M13"/>
    <mergeCell ref="F12:I12"/>
    <mergeCell ref="O13:Q17"/>
    <mergeCell ref="A13:D13"/>
    <mergeCell ref="L7:Q7"/>
    <mergeCell ref="F13:I13"/>
    <mergeCell ref="F15:M15"/>
    <mergeCell ref="Q1:Q2"/>
    <mergeCell ref="D1:P1"/>
    <mergeCell ref="D2:P2"/>
    <mergeCell ref="A1:C2"/>
    <mergeCell ref="O12:Q12"/>
    <mergeCell ref="K12:M12"/>
    <mergeCell ref="A11:Q11"/>
    <mergeCell ref="A12:D12"/>
    <mergeCell ref="A3:Q3"/>
    <mergeCell ref="A5:Q5"/>
    <mergeCell ref="A4:O4"/>
    <mergeCell ref="A8:K8"/>
    <mergeCell ref="L8:Q8"/>
    <mergeCell ref="A9:Q9"/>
    <mergeCell ref="F16:M16"/>
    <mergeCell ref="A6:K6"/>
    <mergeCell ref="A7:K7"/>
    <mergeCell ref="A16:D16"/>
    <mergeCell ref="L6:Q6"/>
    <mergeCell ref="A15:D15"/>
  </mergeCells>
  <printOptions horizontalCentered="1"/>
  <pageMargins left="0.7874015748031497" right="0.3937007874015748" top="0.5905511811023623" bottom="0.5905511811023623" header="0.3937007874015748" footer="0.1968503937007874"/>
  <pageSetup horizontalDpi="600" verticalDpi="600" orientation="portrait" scale="85" r:id="rId2"/>
  <headerFooter alignWithMargins="0">
    <oddFooter>&amp;C&amp;"Tahoma,Cursiva"&amp;9"Si usted  ha accedio a este formato a través de un medio diferente al sitio web del Sistema de Control Documental del SIGEC asegúrese que ésta es la versión vigente"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IK3" sqref="IK3"/>
    </sheetView>
  </sheetViews>
  <sheetFormatPr defaultColWidth="11.421875" defaultRowHeight="12.75"/>
  <sheetData>
    <row r="1" spans="1:256" ht="12.75">
      <c r="A1">
        <f>IF('Formato Solicitud'!1:1,"AAAAAH6n3gA=",0)</f>
        <v>0</v>
      </c>
      <c r="B1" t="e">
        <f>AND('Formato Solicitud'!A1,"AAAAAH6n3gE=")</f>
        <v>#VALUE!</v>
      </c>
      <c r="C1" t="e">
        <f>AND('Formato Solicitud'!B1,"AAAAAH6n3gI=")</f>
        <v>#VALUE!</v>
      </c>
      <c r="D1" t="e">
        <f>AND('Formato Solicitud'!C1,"AAAAAH6n3gM=")</f>
        <v>#VALUE!</v>
      </c>
      <c r="E1" t="e">
        <f>AND('Formato Solicitud'!D1,"AAAAAH6n3gQ=")</f>
        <v>#VALUE!</v>
      </c>
      <c r="F1" t="e">
        <f>AND('Formato Solicitud'!E1,"AAAAAH6n3gU=")</f>
        <v>#VALUE!</v>
      </c>
      <c r="G1" t="e">
        <f>AND('Formato Solicitud'!F1,"AAAAAH6n3gY=")</f>
        <v>#VALUE!</v>
      </c>
      <c r="H1" t="e">
        <f>AND('Formato Solicitud'!G1,"AAAAAH6n3gc=")</f>
        <v>#VALUE!</v>
      </c>
      <c r="I1" t="e">
        <f>AND('Formato Solicitud'!H1,"AAAAAH6n3gg=")</f>
        <v>#VALUE!</v>
      </c>
      <c r="J1" t="e">
        <f>AND('Formato Solicitud'!I1,"AAAAAH6n3gk=")</f>
        <v>#VALUE!</v>
      </c>
      <c r="K1" t="e">
        <f>AND('Formato Solicitud'!J1,"AAAAAH6n3go=")</f>
        <v>#VALUE!</v>
      </c>
      <c r="L1" t="e">
        <f>AND('Formato Solicitud'!K1,"AAAAAH6n3gs=")</f>
        <v>#VALUE!</v>
      </c>
      <c r="M1" t="e">
        <f>AND('Formato Solicitud'!L1,"AAAAAH6n3gw=")</f>
        <v>#VALUE!</v>
      </c>
      <c r="N1" t="e">
        <f>AND('Formato Solicitud'!M1,"AAAAAH6n3g0=")</f>
        <v>#VALUE!</v>
      </c>
      <c r="O1" t="e">
        <f>AND('Formato Solicitud'!N1,"AAAAAH6n3g4=")</f>
        <v>#VALUE!</v>
      </c>
      <c r="P1" t="e">
        <f>AND('Formato Solicitud'!O1,"AAAAAH6n3g8=")</f>
        <v>#VALUE!</v>
      </c>
      <c r="Q1" t="e">
        <f>AND('Formato Solicitud'!P1,"AAAAAH6n3hA=")</f>
        <v>#VALUE!</v>
      </c>
      <c r="R1" t="e">
        <f>AND('Formato Solicitud'!Q1,"AAAAAH6n3hE=")</f>
        <v>#VALUE!</v>
      </c>
      <c r="S1" t="e">
        <f>IF('Formato Solicitud'!#REF!,"AAAAAH6n3hI=",0)</f>
        <v>#REF!</v>
      </c>
      <c r="T1" t="e">
        <f>AND('Formato Solicitud'!#REF!,"AAAAAH6n3hM=")</f>
        <v>#REF!</v>
      </c>
      <c r="U1" t="e">
        <f>AND('Formato Solicitud'!#REF!,"AAAAAH6n3hQ=")</f>
        <v>#REF!</v>
      </c>
      <c r="V1" t="e">
        <f>AND('Formato Solicitud'!#REF!,"AAAAAH6n3hU=")</f>
        <v>#REF!</v>
      </c>
      <c r="W1" t="e">
        <f>AND('Formato Solicitud'!#REF!,"AAAAAH6n3hY=")</f>
        <v>#REF!</v>
      </c>
      <c r="X1" t="e">
        <f>AND('Formato Solicitud'!#REF!,"AAAAAH6n3hc=")</f>
        <v>#REF!</v>
      </c>
      <c r="Y1" t="e">
        <f>AND('Formato Solicitud'!#REF!,"AAAAAH6n3hg=")</f>
        <v>#REF!</v>
      </c>
      <c r="Z1" t="e">
        <f>AND('Formato Solicitud'!#REF!,"AAAAAH6n3hk=")</f>
        <v>#REF!</v>
      </c>
      <c r="AA1" t="e">
        <f>AND('Formato Solicitud'!#REF!,"AAAAAH6n3ho=")</f>
        <v>#REF!</v>
      </c>
      <c r="AB1" t="e">
        <f>AND('Formato Solicitud'!#REF!,"AAAAAH6n3hs=")</f>
        <v>#REF!</v>
      </c>
      <c r="AC1" t="e">
        <f>AND('Formato Solicitud'!#REF!,"AAAAAH6n3hw=")</f>
        <v>#REF!</v>
      </c>
      <c r="AD1" t="e">
        <f>AND('Formato Solicitud'!#REF!,"AAAAAH6n3h0=")</f>
        <v>#REF!</v>
      </c>
      <c r="AE1" t="e">
        <f>AND('Formato Solicitud'!#REF!,"AAAAAH6n3h4=")</f>
        <v>#REF!</v>
      </c>
      <c r="AF1" t="e">
        <f>AND('Formato Solicitud'!#REF!,"AAAAAH6n3h8=")</f>
        <v>#REF!</v>
      </c>
      <c r="AG1" t="e">
        <f>AND('Formato Solicitud'!#REF!,"AAAAAH6n3iA=")</f>
        <v>#REF!</v>
      </c>
      <c r="AH1" t="e">
        <f>AND('Formato Solicitud'!#REF!,"AAAAAH6n3iE=")</f>
        <v>#REF!</v>
      </c>
      <c r="AI1" t="e">
        <f>AND('Formato Solicitud'!#REF!,"AAAAAH6n3iI=")</f>
        <v>#REF!</v>
      </c>
      <c r="AJ1" t="e">
        <f>AND('Formato Solicitud'!#REF!,"AAAAAH6n3iM=")</f>
        <v>#REF!</v>
      </c>
      <c r="AK1">
        <f>IF('Formato Solicitud'!2:2,"AAAAAH6n3iQ=",0)</f>
        <v>0</v>
      </c>
      <c r="AL1" t="e">
        <f>AND('Formato Solicitud'!A2,"AAAAAH6n3iU=")</f>
        <v>#VALUE!</v>
      </c>
      <c r="AM1" t="e">
        <f>AND('Formato Solicitud'!B2,"AAAAAH6n3iY=")</f>
        <v>#VALUE!</v>
      </c>
      <c r="AN1" t="e">
        <f>AND('Formato Solicitud'!C2,"AAAAAH6n3ic=")</f>
        <v>#VALUE!</v>
      </c>
      <c r="AO1" t="e">
        <f>AND('Formato Solicitud'!D2,"AAAAAH6n3ig=")</f>
        <v>#VALUE!</v>
      </c>
      <c r="AP1" t="e">
        <f>AND('Formato Solicitud'!E2,"AAAAAH6n3ik=")</f>
        <v>#VALUE!</v>
      </c>
      <c r="AQ1" t="e">
        <f>AND('Formato Solicitud'!F2,"AAAAAH6n3io=")</f>
        <v>#VALUE!</v>
      </c>
      <c r="AR1" t="e">
        <f>AND('Formato Solicitud'!G2,"AAAAAH6n3is=")</f>
        <v>#VALUE!</v>
      </c>
      <c r="AS1" t="e">
        <f>AND('Formato Solicitud'!H2,"AAAAAH6n3iw=")</f>
        <v>#VALUE!</v>
      </c>
      <c r="AT1" t="e">
        <f>AND('Formato Solicitud'!I2,"AAAAAH6n3i0=")</f>
        <v>#VALUE!</v>
      </c>
      <c r="AU1" t="e">
        <f>AND('Formato Solicitud'!J2,"AAAAAH6n3i4=")</f>
        <v>#VALUE!</v>
      </c>
      <c r="AV1" t="e">
        <f>AND('Formato Solicitud'!K2,"AAAAAH6n3i8=")</f>
        <v>#VALUE!</v>
      </c>
      <c r="AW1" t="e">
        <f>AND('Formato Solicitud'!L2,"AAAAAH6n3jA=")</f>
        <v>#VALUE!</v>
      </c>
      <c r="AX1" t="e">
        <f>AND('Formato Solicitud'!M2,"AAAAAH6n3jE=")</f>
        <v>#VALUE!</v>
      </c>
      <c r="AY1" t="e">
        <f>AND('Formato Solicitud'!N2,"AAAAAH6n3jI=")</f>
        <v>#VALUE!</v>
      </c>
      <c r="AZ1" t="e">
        <f>AND('Formato Solicitud'!O2,"AAAAAH6n3jM=")</f>
        <v>#VALUE!</v>
      </c>
      <c r="BA1" t="e">
        <f>AND('Formato Solicitud'!P2,"AAAAAH6n3jQ=")</f>
        <v>#VALUE!</v>
      </c>
      <c r="BB1" t="e">
        <f>AND('Formato Solicitud'!Q2,"AAAAAH6n3jU=")</f>
        <v>#VALUE!</v>
      </c>
      <c r="BC1" t="e">
        <f>IF('Formato Solicitud'!#REF!,"AAAAAH6n3jY=",0)</f>
        <v>#REF!</v>
      </c>
      <c r="BD1" t="e">
        <f>AND('Formato Solicitud'!#REF!,"AAAAAH6n3jc=")</f>
        <v>#REF!</v>
      </c>
      <c r="BE1" t="e">
        <f>AND('Formato Solicitud'!#REF!,"AAAAAH6n3jg=")</f>
        <v>#REF!</v>
      </c>
      <c r="BF1" t="e">
        <f>AND('Formato Solicitud'!#REF!,"AAAAAH6n3jk=")</f>
        <v>#REF!</v>
      </c>
      <c r="BG1" t="e">
        <f>AND('Formato Solicitud'!#REF!,"AAAAAH6n3jo=")</f>
        <v>#REF!</v>
      </c>
      <c r="BH1" t="e">
        <f>AND('Formato Solicitud'!#REF!,"AAAAAH6n3js=")</f>
        <v>#REF!</v>
      </c>
      <c r="BI1" t="e">
        <f>AND('Formato Solicitud'!#REF!,"AAAAAH6n3jw=")</f>
        <v>#REF!</v>
      </c>
      <c r="BJ1" t="e">
        <f>AND('Formato Solicitud'!#REF!,"AAAAAH6n3j0=")</f>
        <v>#REF!</v>
      </c>
      <c r="BK1" t="e">
        <f>AND('Formato Solicitud'!#REF!,"AAAAAH6n3j4=")</f>
        <v>#REF!</v>
      </c>
      <c r="BL1" t="e">
        <f>AND('Formato Solicitud'!#REF!,"AAAAAH6n3j8=")</f>
        <v>#REF!</v>
      </c>
      <c r="BM1" t="e">
        <f>AND('Formato Solicitud'!#REF!,"AAAAAH6n3kA=")</f>
        <v>#REF!</v>
      </c>
      <c r="BN1" t="e">
        <f>AND('Formato Solicitud'!#REF!,"AAAAAH6n3kE=")</f>
        <v>#REF!</v>
      </c>
      <c r="BO1" t="e">
        <f>AND('Formato Solicitud'!#REF!,"AAAAAH6n3kI=")</f>
        <v>#REF!</v>
      </c>
      <c r="BP1" t="e">
        <f>AND('Formato Solicitud'!#REF!,"AAAAAH6n3kM=")</f>
        <v>#REF!</v>
      </c>
      <c r="BQ1" t="e">
        <f>AND('Formato Solicitud'!#REF!,"AAAAAH6n3kQ=")</f>
        <v>#REF!</v>
      </c>
      <c r="BR1" t="e">
        <f>AND('Formato Solicitud'!#REF!,"AAAAAH6n3kU=")</f>
        <v>#REF!</v>
      </c>
      <c r="BS1" t="e">
        <f>AND('Formato Solicitud'!#REF!,"AAAAAH6n3kY=")</f>
        <v>#REF!</v>
      </c>
      <c r="BT1" t="e">
        <f>AND('Formato Solicitud'!#REF!,"AAAAAH6n3kc=")</f>
        <v>#REF!</v>
      </c>
      <c r="BU1">
        <f>IF('Formato Solicitud'!3:3,"AAAAAH6n3kg=",0)</f>
        <v>0</v>
      </c>
      <c r="BV1" t="e">
        <f>AND('Formato Solicitud'!A3,"AAAAAH6n3kk=")</f>
        <v>#VALUE!</v>
      </c>
      <c r="BW1" t="e">
        <f>AND('Formato Solicitud'!B3,"AAAAAH6n3ko=")</f>
        <v>#VALUE!</v>
      </c>
      <c r="BX1" t="e">
        <f>AND('Formato Solicitud'!C3,"AAAAAH6n3ks=")</f>
        <v>#VALUE!</v>
      </c>
      <c r="BY1" t="e">
        <f>AND('Formato Solicitud'!D3,"AAAAAH6n3kw=")</f>
        <v>#VALUE!</v>
      </c>
      <c r="BZ1" t="e">
        <f>AND('Formato Solicitud'!E3,"AAAAAH6n3k0=")</f>
        <v>#VALUE!</v>
      </c>
      <c r="CA1" t="e">
        <f>AND('Formato Solicitud'!F3,"AAAAAH6n3k4=")</f>
        <v>#VALUE!</v>
      </c>
      <c r="CB1" t="e">
        <f>AND('Formato Solicitud'!G3,"AAAAAH6n3k8=")</f>
        <v>#VALUE!</v>
      </c>
      <c r="CC1" t="e">
        <f>AND('Formato Solicitud'!H3,"AAAAAH6n3lA=")</f>
        <v>#VALUE!</v>
      </c>
      <c r="CD1" t="e">
        <f>AND('Formato Solicitud'!I3,"AAAAAH6n3lE=")</f>
        <v>#VALUE!</v>
      </c>
      <c r="CE1" t="e">
        <f>AND('Formato Solicitud'!J3,"AAAAAH6n3lI=")</f>
        <v>#VALUE!</v>
      </c>
      <c r="CF1" t="e">
        <f>AND('Formato Solicitud'!K3,"AAAAAH6n3lM=")</f>
        <v>#VALUE!</v>
      </c>
      <c r="CG1" t="e">
        <f>AND('Formato Solicitud'!L3,"AAAAAH6n3lQ=")</f>
        <v>#VALUE!</v>
      </c>
      <c r="CH1" t="e">
        <f>AND('Formato Solicitud'!M3,"AAAAAH6n3lU=")</f>
        <v>#VALUE!</v>
      </c>
      <c r="CI1" t="e">
        <f>AND('Formato Solicitud'!N3,"AAAAAH6n3lY=")</f>
        <v>#VALUE!</v>
      </c>
      <c r="CJ1" t="e">
        <f>AND('Formato Solicitud'!O3,"AAAAAH6n3lc=")</f>
        <v>#VALUE!</v>
      </c>
      <c r="CK1" t="e">
        <f>AND('Formato Solicitud'!P3,"AAAAAH6n3lg=")</f>
        <v>#VALUE!</v>
      </c>
      <c r="CL1" t="e">
        <f>AND('Formato Solicitud'!Q3,"AAAAAH6n3lk=")</f>
        <v>#VALUE!</v>
      </c>
      <c r="CM1">
        <f>IF('Formato Solicitud'!5:5,"AAAAAH6n3lo=",0)</f>
        <v>0</v>
      </c>
      <c r="CN1" t="e">
        <f>AND('Formato Solicitud'!A5,"AAAAAH6n3ls=")</f>
        <v>#VALUE!</v>
      </c>
      <c r="CO1" t="e">
        <f>AND('Formato Solicitud'!B5,"AAAAAH6n3lw=")</f>
        <v>#VALUE!</v>
      </c>
      <c r="CP1" t="e">
        <f>AND('Formato Solicitud'!C5,"AAAAAH6n3l0=")</f>
        <v>#VALUE!</v>
      </c>
      <c r="CQ1" t="e">
        <f>AND('Formato Solicitud'!D5,"AAAAAH6n3l4=")</f>
        <v>#VALUE!</v>
      </c>
      <c r="CR1" t="e">
        <f>AND('Formato Solicitud'!E5,"AAAAAH6n3l8=")</f>
        <v>#VALUE!</v>
      </c>
      <c r="CS1" t="e">
        <f>AND('Formato Solicitud'!F5,"AAAAAH6n3mA=")</f>
        <v>#VALUE!</v>
      </c>
      <c r="CT1" t="e">
        <f>AND('Formato Solicitud'!G5,"AAAAAH6n3mE=")</f>
        <v>#VALUE!</v>
      </c>
      <c r="CU1" t="e">
        <f>AND('Formato Solicitud'!H5,"AAAAAH6n3mI=")</f>
        <v>#VALUE!</v>
      </c>
      <c r="CV1" t="e">
        <f>AND('Formato Solicitud'!I5,"AAAAAH6n3mM=")</f>
        <v>#VALUE!</v>
      </c>
      <c r="CW1" t="e">
        <f>AND('Formato Solicitud'!J5,"AAAAAH6n3mQ=")</f>
        <v>#VALUE!</v>
      </c>
      <c r="CX1" t="e">
        <f>AND('Formato Solicitud'!K5,"AAAAAH6n3mU=")</f>
        <v>#VALUE!</v>
      </c>
      <c r="CY1" t="e">
        <f>AND('Formato Solicitud'!L5,"AAAAAH6n3mY=")</f>
        <v>#VALUE!</v>
      </c>
      <c r="CZ1" t="e">
        <f>AND('Formato Solicitud'!M5,"AAAAAH6n3mc=")</f>
        <v>#VALUE!</v>
      </c>
      <c r="DA1" t="e">
        <f>AND('Formato Solicitud'!N5,"AAAAAH6n3mg=")</f>
        <v>#VALUE!</v>
      </c>
      <c r="DB1" t="e">
        <f>AND('Formato Solicitud'!O5,"AAAAAH6n3mk=")</f>
        <v>#VALUE!</v>
      </c>
      <c r="DC1" t="e">
        <f>AND('Formato Solicitud'!P5,"AAAAAH6n3mo=")</f>
        <v>#VALUE!</v>
      </c>
      <c r="DD1" t="e">
        <f>AND('Formato Solicitud'!Q5,"AAAAAH6n3ms=")</f>
        <v>#VALUE!</v>
      </c>
      <c r="DE1">
        <f>IF('Formato Solicitud'!4:4,"AAAAAH6n3mw=",0)</f>
        <v>0</v>
      </c>
      <c r="DF1" t="e">
        <f>AND('Formato Solicitud'!J4,"AAAAAH6n3m0=")</f>
        <v>#VALUE!</v>
      </c>
      <c r="DG1" t="e">
        <f>AND('Formato Solicitud'!B4,"AAAAAH6n3m4=")</f>
        <v>#VALUE!</v>
      </c>
      <c r="DH1" t="e">
        <f>AND('Formato Solicitud'!C4,"AAAAAH6n3m8=")</f>
        <v>#VALUE!</v>
      </c>
      <c r="DI1" t="e">
        <f>AND('Formato Solicitud'!D4,"AAAAAH6n3nA=")</f>
        <v>#VALUE!</v>
      </c>
      <c r="DJ1" t="e">
        <f>AND('Formato Solicitud'!E4,"AAAAAH6n3nE=")</f>
        <v>#VALUE!</v>
      </c>
      <c r="DK1" t="e">
        <f>AND('Formato Solicitud'!F4,"AAAAAH6n3nI=")</f>
        <v>#VALUE!</v>
      </c>
      <c r="DL1" t="e">
        <f>AND('Formato Solicitud'!G4,"AAAAAH6n3nM=")</f>
        <v>#VALUE!</v>
      </c>
      <c r="DM1" t="e">
        <f>AND('Formato Solicitud'!H4,"AAAAAH6n3nQ=")</f>
        <v>#VALUE!</v>
      </c>
      <c r="DN1" t="e">
        <f>AND('Formato Solicitud'!I4,"AAAAAH6n3nU=")</f>
        <v>#VALUE!</v>
      </c>
      <c r="DO1" t="e">
        <f>AND('Formato Solicitud'!#REF!,"AAAAAH6n3nY=")</f>
        <v>#REF!</v>
      </c>
      <c r="DP1" t="e">
        <f>AND('Formato Solicitud'!K4,"AAAAAH6n3nc=")</f>
        <v>#VALUE!</v>
      </c>
      <c r="DQ1" t="e">
        <f>AND('Formato Solicitud'!L4,"AAAAAH6n3ng=")</f>
        <v>#VALUE!</v>
      </c>
      <c r="DR1" t="e">
        <f>AND('Formato Solicitud'!M4,"AAAAAH6n3nk=")</f>
        <v>#VALUE!</v>
      </c>
      <c r="DS1" t="e">
        <f>AND('Formato Solicitud'!N4,"AAAAAH6n3no=")</f>
        <v>#VALUE!</v>
      </c>
      <c r="DT1" t="e">
        <f>AND('Formato Solicitud'!L6,"AAAAAH6n3ns=")</f>
        <v>#VALUE!</v>
      </c>
      <c r="DU1" t="e">
        <f>AND('Formato Solicitud'!P4,"AAAAAH6n3nw=")</f>
        <v>#VALUE!</v>
      </c>
      <c r="DV1" t="e">
        <f>AND('Formato Solicitud'!Q4,"AAAAAH6n3n0=")</f>
        <v>#VALUE!</v>
      </c>
      <c r="DW1">
        <f>IF('Formato Solicitud'!6:6,"AAAAAH6n3n4=",0)</f>
        <v>0</v>
      </c>
      <c r="DX1" t="e">
        <f>AND('Formato Solicitud'!A6,"AAAAAH6n3n8=")</f>
        <v>#VALUE!</v>
      </c>
      <c r="DY1" t="e">
        <f>AND('Formato Solicitud'!B6,"AAAAAH6n3oA=")</f>
        <v>#VALUE!</v>
      </c>
      <c r="DZ1" t="e">
        <f>AND('Formato Solicitud'!C6,"AAAAAH6n3oE=")</f>
        <v>#VALUE!</v>
      </c>
      <c r="EA1" t="e">
        <f>AND('Formato Solicitud'!D6,"AAAAAH6n3oI=")</f>
        <v>#VALUE!</v>
      </c>
      <c r="EB1" t="e">
        <f>AND('Formato Solicitud'!E6,"AAAAAH6n3oM=")</f>
        <v>#VALUE!</v>
      </c>
      <c r="EC1" t="e">
        <f>AND('Formato Solicitud'!F6,"AAAAAH6n3oQ=")</f>
        <v>#VALUE!</v>
      </c>
      <c r="ED1" t="e">
        <f>AND('Formato Solicitud'!G6,"AAAAAH6n3oU=")</f>
        <v>#VALUE!</v>
      </c>
      <c r="EE1" t="e">
        <f>AND('Formato Solicitud'!H6,"AAAAAH6n3oY=")</f>
        <v>#VALUE!</v>
      </c>
      <c r="EF1" t="e">
        <f>AND('Formato Solicitud'!I6,"AAAAAH6n3oc=")</f>
        <v>#VALUE!</v>
      </c>
      <c r="EG1" t="e">
        <f>AND('Formato Solicitud'!J6,"AAAAAH6n3og=")</f>
        <v>#VALUE!</v>
      </c>
      <c r="EH1" t="e">
        <f>AND('Formato Solicitud'!K6,"AAAAAH6n3ok=")</f>
        <v>#VALUE!</v>
      </c>
      <c r="EI1" t="e">
        <f>AND('Formato Solicitud'!#REF!,"AAAAAH6n3oo=")</f>
        <v>#REF!</v>
      </c>
      <c r="EJ1" t="e">
        <f>AND('Formato Solicitud'!M6,"AAAAAH6n3os=")</f>
        <v>#VALUE!</v>
      </c>
      <c r="EK1" t="e">
        <f>AND('Formato Solicitud'!N6,"AAAAAH6n3ow=")</f>
        <v>#VALUE!</v>
      </c>
      <c r="EL1" t="e">
        <f>AND('Formato Solicitud'!#REF!,"AAAAAH6n3o0=")</f>
        <v>#REF!</v>
      </c>
      <c r="EM1" t="e">
        <f>AND('Formato Solicitud'!P6,"AAAAAH6n3o4=")</f>
        <v>#VALUE!</v>
      </c>
      <c r="EN1" t="e">
        <f>AND('Formato Solicitud'!Q6,"AAAAAH6n3o8=")</f>
        <v>#VALUE!</v>
      </c>
      <c r="EO1">
        <f>IF('Formato Solicitud'!8:8,"AAAAAH6n3pA=",0)</f>
        <v>0</v>
      </c>
      <c r="EP1" t="e">
        <f>AND('Formato Solicitud'!A8,"AAAAAH6n3pE=")</f>
        <v>#VALUE!</v>
      </c>
      <c r="EQ1" t="e">
        <f>AND('Formato Solicitud'!B8,"AAAAAH6n3pI=")</f>
        <v>#VALUE!</v>
      </c>
      <c r="ER1" t="e">
        <f>AND('Formato Solicitud'!C8,"AAAAAH6n3pM=")</f>
        <v>#VALUE!</v>
      </c>
      <c r="ES1" t="e">
        <f>AND('Formato Solicitud'!D8,"AAAAAH6n3pQ=")</f>
        <v>#VALUE!</v>
      </c>
      <c r="ET1" t="e">
        <f>AND('Formato Solicitud'!E8,"AAAAAH6n3pU=")</f>
        <v>#VALUE!</v>
      </c>
      <c r="EU1" t="e">
        <f>AND('Formato Solicitud'!F8,"AAAAAH6n3pY=")</f>
        <v>#VALUE!</v>
      </c>
      <c r="EV1" t="e">
        <f>AND('Formato Solicitud'!G8,"AAAAAH6n3pc=")</f>
        <v>#VALUE!</v>
      </c>
      <c r="EW1" t="e">
        <f>AND('Formato Solicitud'!H8,"AAAAAH6n3pg=")</f>
        <v>#VALUE!</v>
      </c>
      <c r="EX1" t="e">
        <f>AND('Formato Solicitud'!I8,"AAAAAH6n3pk=")</f>
        <v>#VALUE!</v>
      </c>
      <c r="EY1" t="e">
        <f>AND('Formato Solicitud'!J8,"AAAAAH6n3po=")</f>
        <v>#VALUE!</v>
      </c>
      <c r="EZ1" t="e">
        <f>AND('Formato Solicitud'!K8,"AAAAAH6n3ps=")</f>
        <v>#VALUE!</v>
      </c>
      <c r="FA1" t="e">
        <f>AND('Formato Solicitud'!#REF!,"AAAAAH6n3pw=")</f>
        <v>#REF!</v>
      </c>
      <c r="FB1" t="e">
        <f>AND('Formato Solicitud'!M8,"AAAAAH6n3p0=")</f>
        <v>#VALUE!</v>
      </c>
      <c r="FC1" t="e">
        <f>AND('Formato Solicitud'!N8,"AAAAAH6n3p4=")</f>
        <v>#VALUE!</v>
      </c>
      <c r="FD1" t="e">
        <f>AND('Formato Solicitud'!L8,"AAAAAH6n3p8=")</f>
        <v>#VALUE!</v>
      </c>
      <c r="FE1" t="e">
        <f>AND('Formato Solicitud'!P8,"AAAAAH6n3qA=")</f>
        <v>#VALUE!</v>
      </c>
      <c r="FF1" t="e">
        <f>AND('Formato Solicitud'!Q8,"AAAAAH6n3qE=")</f>
        <v>#VALUE!</v>
      </c>
      <c r="FG1" t="e">
        <f>IF('Formato Solicitud'!#REF!,"AAAAAH6n3qI=",0)</f>
        <v>#REF!</v>
      </c>
      <c r="FH1" t="e">
        <f>AND('Formato Solicitud'!#REF!,"AAAAAH6n3qM=")</f>
        <v>#REF!</v>
      </c>
      <c r="FI1" t="e">
        <f>AND('Formato Solicitud'!#REF!,"AAAAAH6n3qQ=")</f>
        <v>#REF!</v>
      </c>
      <c r="FJ1" t="e">
        <f>AND('Formato Solicitud'!#REF!,"AAAAAH6n3qU=")</f>
        <v>#REF!</v>
      </c>
      <c r="FK1" t="e">
        <f>AND('Formato Solicitud'!#REF!,"AAAAAH6n3qY=")</f>
        <v>#REF!</v>
      </c>
      <c r="FL1" t="e">
        <f>AND('Formato Solicitud'!#REF!,"AAAAAH6n3qc=")</f>
        <v>#REF!</v>
      </c>
      <c r="FM1" t="e">
        <f>AND('Formato Solicitud'!#REF!,"AAAAAH6n3qg=")</f>
        <v>#REF!</v>
      </c>
      <c r="FN1" t="e">
        <f>AND('Formato Solicitud'!#REF!,"AAAAAH6n3qk=")</f>
        <v>#REF!</v>
      </c>
      <c r="FO1" t="e">
        <f>AND('Formato Solicitud'!#REF!,"AAAAAH6n3qo=")</f>
        <v>#REF!</v>
      </c>
      <c r="FP1" t="e">
        <f>AND('Formato Solicitud'!#REF!,"AAAAAH6n3qs=")</f>
        <v>#REF!</v>
      </c>
      <c r="FQ1" t="e">
        <f>AND('Formato Solicitud'!#REF!,"AAAAAH6n3qw=")</f>
        <v>#REF!</v>
      </c>
      <c r="FR1" t="e">
        <f>AND('Formato Solicitud'!#REF!,"AAAAAH6n3q0=")</f>
        <v>#REF!</v>
      </c>
      <c r="FS1" t="e">
        <f>AND('Formato Solicitud'!#REF!,"AAAAAH6n3q4=")</f>
        <v>#REF!</v>
      </c>
      <c r="FT1" t="e">
        <f>AND('Formato Solicitud'!#REF!,"AAAAAH6n3q8=")</f>
        <v>#REF!</v>
      </c>
      <c r="FU1" t="e">
        <f>AND('Formato Solicitud'!#REF!,"AAAAAH6n3rA=")</f>
        <v>#REF!</v>
      </c>
      <c r="FV1" t="e">
        <f>AND('Formato Solicitud'!#REF!,"AAAAAH6n3rE=")</f>
        <v>#REF!</v>
      </c>
      <c r="FW1" t="e">
        <f>AND('Formato Solicitud'!#REF!,"AAAAAH6n3rI=")</f>
        <v>#REF!</v>
      </c>
      <c r="FX1" t="e">
        <f>AND('Formato Solicitud'!#REF!,"AAAAAH6n3rM=")</f>
        <v>#REF!</v>
      </c>
      <c r="FY1">
        <f>IF('Formato Solicitud'!9:9,"AAAAAH6n3rQ=",0)</f>
        <v>0</v>
      </c>
      <c r="FZ1" t="e">
        <f>AND('Formato Solicitud'!A9,"AAAAAH6n3rU=")</f>
        <v>#VALUE!</v>
      </c>
      <c r="GA1" t="e">
        <f>AND('Formato Solicitud'!B9,"AAAAAH6n3rY=")</f>
        <v>#VALUE!</v>
      </c>
      <c r="GB1" t="e">
        <f>AND('Formato Solicitud'!C9,"AAAAAH6n3rc=")</f>
        <v>#VALUE!</v>
      </c>
      <c r="GC1" t="e">
        <f>AND('Formato Solicitud'!D9,"AAAAAH6n3rg=")</f>
        <v>#VALUE!</v>
      </c>
      <c r="GD1" t="e">
        <f>AND('Formato Solicitud'!E9,"AAAAAH6n3rk=")</f>
        <v>#VALUE!</v>
      </c>
      <c r="GE1" t="e">
        <f>AND('Formato Solicitud'!F9,"AAAAAH6n3ro=")</f>
        <v>#VALUE!</v>
      </c>
      <c r="GF1" t="e">
        <f>AND('Formato Solicitud'!G9,"AAAAAH6n3rs=")</f>
        <v>#VALUE!</v>
      </c>
      <c r="GG1" t="e">
        <f>AND('Formato Solicitud'!H9,"AAAAAH6n3rw=")</f>
        <v>#VALUE!</v>
      </c>
      <c r="GH1" t="e">
        <f>AND('Formato Solicitud'!I9,"AAAAAH6n3r0=")</f>
        <v>#VALUE!</v>
      </c>
      <c r="GI1" t="e">
        <f>AND('Formato Solicitud'!J9,"AAAAAH6n3r4=")</f>
        <v>#VALUE!</v>
      </c>
      <c r="GJ1" t="e">
        <f>AND('Formato Solicitud'!K9,"AAAAAH6n3r8=")</f>
        <v>#VALUE!</v>
      </c>
      <c r="GK1" t="e">
        <f>AND('Formato Solicitud'!L9,"AAAAAH6n3sA=")</f>
        <v>#VALUE!</v>
      </c>
      <c r="GL1" t="e">
        <f>AND('Formato Solicitud'!M9,"AAAAAH6n3sE=")</f>
        <v>#VALUE!</v>
      </c>
      <c r="GM1" t="e">
        <f>AND('Formato Solicitud'!N9,"AAAAAH6n3sI=")</f>
        <v>#VALUE!</v>
      </c>
      <c r="GN1" t="e">
        <f>AND('Formato Solicitud'!O9,"AAAAAH6n3sM=")</f>
        <v>#VALUE!</v>
      </c>
      <c r="GO1" t="e">
        <f>AND('Formato Solicitud'!P9,"AAAAAH6n3sQ=")</f>
        <v>#VALUE!</v>
      </c>
      <c r="GP1" t="e">
        <f>AND('Formato Solicitud'!Q9,"AAAAAH6n3sU=")</f>
        <v>#VALUE!</v>
      </c>
      <c r="GQ1" t="e">
        <f>IF('Formato Solicitud'!#REF!,"AAAAAH6n3sY=",0)</f>
        <v>#REF!</v>
      </c>
      <c r="GR1" t="e">
        <f>AND('Formato Solicitud'!#REF!,"AAAAAH6n3sc=")</f>
        <v>#REF!</v>
      </c>
      <c r="GS1" t="e">
        <f>AND('Formato Solicitud'!#REF!,"AAAAAH6n3sg=")</f>
        <v>#REF!</v>
      </c>
      <c r="GT1" t="e">
        <f>AND('Formato Solicitud'!#REF!,"AAAAAH6n3sk=")</f>
        <v>#REF!</v>
      </c>
      <c r="GU1" t="e">
        <f>AND('Formato Solicitud'!#REF!,"AAAAAH6n3so=")</f>
        <v>#REF!</v>
      </c>
      <c r="GV1" t="e">
        <f>AND('Formato Solicitud'!#REF!,"AAAAAH6n3ss=")</f>
        <v>#REF!</v>
      </c>
      <c r="GW1" t="e">
        <f>AND('Formato Solicitud'!#REF!,"AAAAAH6n3sw=")</f>
        <v>#REF!</v>
      </c>
      <c r="GX1" t="e">
        <f>AND('Formato Solicitud'!#REF!,"AAAAAH6n3s0=")</f>
        <v>#REF!</v>
      </c>
      <c r="GY1" t="e">
        <f>AND('Formato Solicitud'!#REF!,"AAAAAH6n3s4=")</f>
        <v>#REF!</v>
      </c>
      <c r="GZ1" t="e">
        <f>AND('Formato Solicitud'!#REF!,"AAAAAH6n3s8=")</f>
        <v>#REF!</v>
      </c>
      <c r="HA1" t="e">
        <f>AND('Formato Solicitud'!#REF!,"AAAAAH6n3tA=")</f>
        <v>#REF!</v>
      </c>
      <c r="HB1" t="e">
        <f>AND('Formato Solicitud'!#REF!,"AAAAAH6n3tE=")</f>
        <v>#REF!</v>
      </c>
      <c r="HC1" t="e">
        <f>AND('Formato Solicitud'!#REF!,"AAAAAH6n3tI=")</f>
        <v>#REF!</v>
      </c>
      <c r="HD1" t="e">
        <f>AND('Formato Solicitud'!#REF!,"AAAAAH6n3tM=")</f>
        <v>#REF!</v>
      </c>
      <c r="HE1" t="e">
        <f>AND('Formato Solicitud'!#REF!,"AAAAAH6n3tQ=")</f>
        <v>#REF!</v>
      </c>
      <c r="HF1" t="e">
        <f>AND('Formato Solicitud'!#REF!,"AAAAAH6n3tU=")</f>
        <v>#REF!</v>
      </c>
      <c r="HG1" t="e">
        <f>AND('Formato Solicitud'!#REF!,"AAAAAH6n3tY=")</f>
        <v>#REF!</v>
      </c>
      <c r="HH1" t="e">
        <f>AND('Formato Solicitud'!#REF!,"AAAAAH6n3tc=")</f>
        <v>#REF!</v>
      </c>
      <c r="HI1">
        <f>IF('Formato Solicitud'!7:7,"AAAAAH6n3tg=",0)</f>
        <v>0</v>
      </c>
      <c r="HJ1" t="e">
        <f>AND('Formato Solicitud'!A7,"AAAAAH6n3tk=")</f>
        <v>#VALUE!</v>
      </c>
      <c r="HK1" t="e">
        <f>AND('Formato Solicitud'!B7,"AAAAAH6n3to=")</f>
        <v>#VALUE!</v>
      </c>
      <c r="HL1" t="e">
        <f>AND('Formato Solicitud'!C7,"AAAAAH6n3ts=")</f>
        <v>#VALUE!</v>
      </c>
      <c r="HM1" t="e">
        <f>AND('Formato Solicitud'!D7,"AAAAAH6n3tw=")</f>
        <v>#VALUE!</v>
      </c>
      <c r="HN1" t="e">
        <f>AND('Formato Solicitud'!E7,"AAAAAH6n3t0=")</f>
        <v>#VALUE!</v>
      </c>
      <c r="HO1" t="e">
        <f>AND('Formato Solicitud'!F7,"AAAAAH6n3t4=")</f>
        <v>#VALUE!</v>
      </c>
      <c r="HP1" t="e">
        <f>AND('Formato Solicitud'!G7,"AAAAAH6n3t8=")</f>
        <v>#VALUE!</v>
      </c>
      <c r="HQ1" t="e">
        <f>AND('Formato Solicitud'!H7,"AAAAAH6n3uA=")</f>
        <v>#VALUE!</v>
      </c>
      <c r="HR1" t="e">
        <f>AND('Formato Solicitud'!I7,"AAAAAH6n3uE=")</f>
        <v>#VALUE!</v>
      </c>
      <c r="HS1" t="e">
        <f>AND('Formato Solicitud'!J7,"AAAAAH6n3uI=")</f>
        <v>#VALUE!</v>
      </c>
      <c r="HT1" t="e">
        <f>AND('Formato Solicitud'!#REF!,"AAAAAH6n3uM=")</f>
        <v>#REF!</v>
      </c>
      <c r="HU1" t="e">
        <f>AND('Formato Solicitud'!L7,"AAAAAH6n3uQ=")</f>
        <v>#VALUE!</v>
      </c>
      <c r="HV1" t="e">
        <f>AND('Formato Solicitud'!M7,"AAAAAH6n3uU=")</f>
        <v>#VALUE!</v>
      </c>
      <c r="HW1" t="e">
        <f>AND('Formato Solicitud'!N7,"AAAAAH6n3uY=")</f>
        <v>#VALUE!</v>
      </c>
      <c r="HX1" t="e">
        <f>AND('Formato Solicitud'!K7,"AAAAAH6n3uc=")</f>
        <v>#VALUE!</v>
      </c>
      <c r="HY1" t="e">
        <f>AND('Formato Solicitud'!P7,"AAAAAH6n3ug=")</f>
        <v>#VALUE!</v>
      </c>
      <c r="HZ1" t="e">
        <f>AND('Formato Solicitud'!Q7,"AAAAAH6n3uk=")</f>
        <v>#VALUE!</v>
      </c>
      <c r="IA1">
        <f>IF('Formato Solicitud'!10:10,"AAAAAH6n3uo=",0)</f>
        <v>0</v>
      </c>
      <c r="IB1" t="e">
        <f>AND('Formato Solicitud'!A10,"AAAAAH6n3us=")</f>
        <v>#VALUE!</v>
      </c>
      <c r="IC1" t="e">
        <f>AND('Formato Solicitud'!B10,"AAAAAH6n3uw=")</f>
        <v>#VALUE!</v>
      </c>
      <c r="ID1" t="e">
        <f>AND('Formato Solicitud'!C10,"AAAAAH6n3u0=")</f>
        <v>#VALUE!</v>
      </c>
      <c r="IE1" t="e">
        <f>AND('Formato Solicitud'!D10,"AAAAAH6n3u4=")</f>
        <v>#VALUE!</v>
      </c>
      <c r="IF1" t="e">
        <f>AND('Formato Solicitud'!E10,"AAAAAH6n3u8=")</f>
        <v>#VALUE!</v>
      </c>
      <c r="IG1" t="e">
        <f>AND('Formato Solicitud'!F10,"AAAAAH6n3vA=")</f>
        <v>#VALUE!</v>
      </c>
      <c r="IH1" t="e">
        <f>AND('Formato Solicitud'!G10,"AAAAAH6n3vE=")</f>
        <v>#VALUE!</v>
      </c>
      <c r="II1" t="e">
        <f>AND('Formato Solicitud'!H10,"AAAAAH6n3vI=")</f>
        <v>#VALUE!</v>
      </c>
      <c r="IJ1" t="e">
        <f>AND('Formato Solicitud'!I10,"AAAAAH6n3vM=")</f>
        <v>#VALUE!</v>
      </c>
      <c r="IK1" t="e">
        <f>AND('Formato Solicitud'!J10,"AAAAAH6n3vQ=")</f>
        <v>#VALUE!</v>
      </c>
      <c r="IL1" t="e">
        <f>AND('Formato Solicitud'!K10,"AAAAAH6n3vU=")</f>
        <v>#VALUE!</v>
      </c>
      <c r="IM1" t="e">
        <f>AND('Formato Solicitud'!L10,"AAAAAH6n3vY=")</f>
        <v>#VALUE!</v>
      </c>
      <c r="IN1" t="e">
        <f>AND('Formato Solicitud'!M10,"AAAAAH6n3vc=")</f>
        <v>#VALUE!</v>
      </c>
      <c r="IO1" t="e">
        <f>AND('Formato Solicitud'!N10,"AAAAAH6n3vg=")</f>
        <v>#VALUE!</v>
      </c>
      <c r="IP1" t="e">
        <f>AND('Formato Solicitud'!O10,"AAAAAH6n3vk=")</f>
        <v>#VALUE!</v>
      </c>
      <c r="IQ1" t="e">
        <f>AND('Formato Solicitud'!P10,"AAAAAH6n3vo=")</f>
        <v>#VALUE!</v>
      </c>
      <c r="IR1" t="e">
        <f>AND('Formato Solicitud'!Q10,"AAAAAH6n3vs=")</f>
        <v>#VALUE!</v>
      </c>
      <c r="IS1">
        <f>IF('Formato Solicitud'!11:11,"AAAAAH6n3vw=",0)</f>
        <v>0</v>
      </c>
      <c r="IT1" t="e">
        <f>AND('Formato Solicitud'!A11,"AAAAAH6n3v0=")</f>
        <v>#VALUE!</v>
      </c>
      <c r="IU1" t="e">
        <f>AND('Formato Solicitud'!B11,"AAAAAH6n3v4=")</f>
        <v>#VALUE!</v>
      </c>
      <c r="IV1" t="e">
        <f>AND('Formato Solicitud'!C11,"AAAAAH6n3v8=")</f>
        <v>#VALUE!</v>
      </c>
    </row>
    <row r="2" spans="1:256" ht="12.75">
      <c r="A2" t="e">
        <f>AND('Formato Solicitud'!D11,"AAAAAFy3vwA=")</f>
        <v>#VALUE!</v>
      </c>
      <c r="B2" t="e">
        <f>AND('Formato Solicitud'!E11,"AAAAAFy3vwE=")</f>
        <v>#VALUE!</v>
      </c>
      <c r="C2" t="e">
        <f>AND('Formato Solicitud'!F11,"AAAAAFy3vwI=")</f>
        <v>#VALUE!</v>
      </c>
      <c r="D2" t="e">
        <f>AND('Formato Solicitud'!G11,"AAAAAFy3vwM=")</f>
        <v>#VALUE!</v>
      </c>
      <c r="E2" t="e">
        <f>AND('Formato Solicitud'!H11,"AAAAAFy3vwQ=")</f>
        <v>#VALUE!</v>
      </c>
      <c r="F2" t="e">
        <f>AND('Formato Solicitud'!I11,"AAAAAFy3vwU=")</f>
        <v>#VALUE!</v>
      </c>
      <c r="G2" t="e">
        <f>AND('Formato Solicitud'!J11,"AAAAAFy3vwY=")</f>
        <v>#VALUE!</v>
      </c>
      <c r="H2" t="e">
        <f>AND('Formato Solicitud'!K11,"AAAAAFy3vwc=")</f>
        <v>#VALUE!</v>
      </c>
      <c r="I2" t="e">
        <f>AND('Formato Solicitud'!L11,"AAAAAFy3vwg=")</f>
        <v>#VALUE!</v>
      </c>
      <c r="J2" t="e">
        <f>AND('Formato Solicitud'!M11,"AAAAAFy3vwk=")</f>
        <v>#VALUE!</v>
      </c>
      <c r="K2" t="e">
        <f>AND('Formato Solicitud'!N11,"AAAAAFy3vwo=")</f>
        <v>#VALUE!</v>
      </c>
      <c r="L2" t="e">
        <f>AND('Formato Solicitud'!O11,"AAAAAFy3vws=")</f>
        <v>#VALUE!</v>
      </c>
      <c r="M2" t="e">
        <f>AND('Formato Solicitud'!P11,"AAAAAFy3vww=")</f>
        <v>#VALUE!</v>
      </c>
      <c r="N2" t="e">
        <f>AND('Formato Solicitud'!Q11,"AAAAAFy3vw0=")</f>
        <v>#VALUE!</v>
      </c>
      <c r="O2" t="e">
        <f>IF('Formato Solicitud'!12:12,"AAAAAFy3vw4=",0)</f>
        <v>#VALUE!</v>
      </c>
      <c r="P2" t="e">
        <f>AND('Formato Solicitud'!A12,"AAAAAFy3vw8=")</f>
        <v>#VALUE!</v>
      </c>
      <c r="Q2" t="e">
        <f>AND('Formato Solicitud'!B12,"AAAAAFy3vxA=")</f>
        <v>#VALUE!</v>
      </c>
      <c r="R2" t="e">
        <f>AND('Formato Solicitud'!C12,"AAAAAFy3vxE=")</f>
        <v>#VALUE!</v>
      </c>
      <c r="S2" t="e">
        <f>AND('Formato Solicitud'!D12,"AAAAAFy3vxI=")</f>
        <v>#VALUE!</v>
      </c>
      <c r="T2" t="e">
        <f>AND('Formato Solicitud'!E12,"AAAAAFy3vxM=")</f>
        <v>#VALUE!</v>
      </c>
      <c r="U2" t="e">
        <f>AND('Formato Solicitud'!F12,"AAAAAFy3vxQ=")</f>
        <v>#VALUE!</v>
      </c>
      <c r="V2" t="e">
        <f>AND('Formato Solicitud'!G12,"AAAAAFy3vxU=")</f>
        <v>#VALUE!</v>
      </c>
      <c r="W2" t="e">
        <f>AND('Formato Solicitud'!H12,"AAAAAFy3vxY=")</f>
        <v>#VALUE!</v>
      </c>
      <c r="X2" t="e">
        <f>AND('Formato Solicitud'!I12,"AAAAAFy3vxc=")</f>
        <v>#VALUE!</v>
      </c>
      <c r="Y2" t="e">
        <f>AND('Formato Solicitud'!J12,"AAAAAFy3vxg=")</f>
        <v>#VALUE!</v>
      </c>
      <c r="Z2" t="e">
        <f>AND('Formato Solicitud'!K12,"AAAAAFy3vxk=")</f>
        <v>#VALUE!</v>
      </c>
      <c r="AA2" t="e">
        <f>AND('Formato Solicitud'!L12,"AAAAAFy3vxo=")</f>
        <v>#VALUE!</v>
      </c>
      <c r="AB2" t="e">
        <f>AND('Formato Solicitud'!M12,"AAAAAFy3vxs=")</f>
        <v>#VALUE!</v>
      </c>
      <c r="AC2" t="e">
        <f>AND('Formato Solicitud'!N12,"AAAAAFy3vxw=")</f>
        <v>#VALUE!</v>
      </c>
      <c r="AD2" t="e">
        <f>AND('Formato Solicitud'!O12,"AAAAAFy3vx0=")</f>
        <v>#VALUE!</v>
      </c>
      <c r="AE2" t="e">
        <f>AND('Formato Solicitud'!P12,"AAAAAFy3vx4=")</f>
        <v>#VALUE!</v>
      </c>
      <c r="AF2" t="e">
        <f>AND('Formato Solicitud'!Q12,"AAAAAFy3vx8=")</f>
        <v>#VALUE!</v>
      </c>
      <c r="AG2">
        <f>IF('Formato Solicitud'!13:13,"AAAAAFy3vyA=",0)</f>
        <v>0</v>
      </c>
      <c r="AH2" t="e">
        <f>AND('Formato Solicitud'!A13,"AAAAAFy3vyE=")</f>
        <v>#VALUE!</v>
      </c>
      <c r="AI2" t="e">
        <f>AND('Formato Solicitud'!B13,"AAAAAFy3vyI=")</f>
        <v>#VALUE!</v>
      </c>
      <c r="AJ2" t="e">
        <f>AND('Formato Solicitud'!C13,"AAAAAFy3vyM=")</f>
        <v>#VALUE!</v>
      </c>
      <c r="AK2" t="e">
        <f>AND('Formato Solicitud'!D13,"AAAAAFy3vyQ=")</f>
        <v>#VALUE!</v>
      </c>
      <c r="AL2" t="e">
        <f>AND('Formato Solicitud'!E13,"AAAAAFy3vyU=")</f>
        <v>#VALUE!</v>
      </c>
      <c r="AM2" t="e">
        <f>AND('Formato Solicitud'!F13,"AAAAAFy3vyY=")</f>
        <v>#VALUE!</v>
      </c>
      <c r="AN2" t="e">
        <f>AND('Formato Solicitud'!G13,"AAAAAFy3vyc=")</f>
        <v>#VALUE!</v>
      </c>
      <c r="AO2" t="e">
        <f>AND('Formato Solicitud'!H13,"AAAAAFy3vyg=")</f>
        <v>#VALUE!</v>
      </c>
      <c r="AP2" t="e">
        <f>AND('Formato Solicitud'!I13,"AAAAAFy3vyk=")</f>
        <v>#VALUE!</v>
      </c>
      <c r="AQ2" t="e">
        <f>AND('Formato Solicitud'!J13,"AAAAAFy3vyo=")</f>
        <v>#VALUE!</v>
      </c>
      <c r="AR2" t="e">
        <f>AND('Formato Solicitud'!K13,"AAAAAFy3vys=")</f>
        <v>#VALUE!</v>
      </c>
      <c r="AS2" t="e">
        <f>AND('Formato Solicitud'!L13,"AAAAAFy3vyw=")</f>
        <v>#VALUE!</v>
      </c>
      <c r="AT2" t="e">
        <f>AND('Formato Solicitud'!M13,"AAAAAFy3vy0=")</f>
        <v>#VALUE!</v>
      </c>
      <c r="AU2" t="e">
        <f>AND('Formato Solicitud'!N13,"AAAAAFy3vy4=")</f>
        <v>#VALUE!</v>
      </c>
      <c r="AV2" t="e">
        <f>AND('Formato Solicitud'!O13,"AAAAAFy3vy8=")</f>
        <v>#VALUE!</v>
      </c>
      <c r="AW2" t="e">
        <f>AND('Formato Solicitud'!P13,"AAAAAFy3vzA=")</f>
        <v>#VALUE!</v>
      </c>
      <c r="AX2" t="e">
        <f>AND('Formato Solicitud'!Q13,"AAAAAFy3vzE=")</f>
        <v>#VALUE!</v>
      </c>
      <c r="AY2">
        <f>IF('Formato Solicitud'!14:14,"AAAAAFy3vzI=",0)</f>
        <v>0</v>
      </c>
      <c r="AZ2" t="e">
        <f>AND('Formato Solicitud'!A14,"AAAAAFy3vzM=")</f>
        <v>#VALUE!</v>
      </c>
      <c r="BA2" t="e">
        <f>AND('Formato Solicitud'!B14,"AAAAAFy3vzQ=")</f>
        <v>#VALUE!</v>
      </c>
      <c r="BB2" t="e">
        <f>AND('Formato Solicitud'!C14,"AAAAAFy3vzU=")</f>
        <v>#VALUE!</v>
      </c>
      <c r="BC2" t="e">
        <f>AND('Formato Solicitud'!D14,"AAAAAFy3vzY=")</f>
        <v>#VALUE!</v>
      </c>
      <c r="BD2" t="e">
        <f>AND('Formato Solicitud'!E14,"AAAAAFy3vzc=")</f>
        <v>#VALUE!</v>
      </c>
      <c r="BE2" t="e">
        <f>AND('Formato Solicitud'!F14,"AAAAAFy3vzg=")</f>
        <v>#VALUE!</v>
      </c>
      <c r="BF2" t="e">
        <f>AND('Formato Solicitud'!G14,"AAAAAFy3vzk=")</f>
        <v>#VALUE!</v>
      </c>
      <c r="BG2" t="e">
        <f>AND('Formato Solicitud'!H14,"AAAAAFy3vzo=")</f>
        <v>#VALUE!</v>
      </c>
      <c r="BH2" t="e">
        <f>AND('Formato Solicitud'!I14,"AAAAAFy3vzs=")</f>
        <v>#VALUE!</v>
      </c>
      <c r="BI2" t="e">
        <f>AND('Formato Solicitud'!J14,"AAAAAFy3vzw=")</f>
        <v>#VALUE!</v>
      </c>
      <c r="BJ2" t="e">
        <f>AND('Formato Solicitud'!K14,"AAAAAFy3vz0=")</f>
        <v>#VALUE!</v>
      </c>
      <c r="BK2" t="e">
        <f>AND('Formato Solicitud'!L14,"AAAAAFy3vz4=")</f>
        <v>#VALUE!</v>
      </c>
      <c r="BL2" t="e">
        <f>AND('Formato Solicitud'!M14,"AAAAAFy3vz8=")</f>
        <v>#VALUE!</v>
      </c>
      <c r="BM2" t="e">
        <f>AND('Formato Solicitud'!N14,"AAAAAFy3v0A=")</f>
        <v>#VALUE!</v>
      </c>
      <c r="BN2" t="e">
        <f>AND('Formato Solicitud'!O14,"AAAAAFy3v0E=")</f>
        <v>#VALUE!</v>
      </c>
      <c r="BO2" t="e">
        <f>AND('Formato Solicitud'!P14,"AAAAAFy3v0I=")</f>
        <v>#VALUE!</v>
      </c>
      <c r="BP2" t="e">
        <f>AND('Formato Solicitud'!Q14,"AAAAAFy3v0M=")</f>
        <v>#VALUE!</v>
      </c>
      <c r="BQ2">
        <f>IF('Formato Solicitud'!15:15,"AAAAAFy3v0Q=",0)</f>
        <v>0</v>
      </c>
      <c r="BR2" t="e">
        <f>AND('Formato Solicitud'!A15,"AAAAAFy3v0U=")</f>
        <v>#VALUE!</v>
      </c>
      <c r="BS2" t="e">
        <f>AND('Formato Solicitud'!B15,"AAAAAFy3v0Y=")</f>
        <v>#VALUE!</v>
      </c>
      <c r="BT2" t="e">
        <f>AND('Formato Solicitud'!C15,"AAAAAFy3v0c=")</f>
        <v>#VALUE!</v>
      </c>
      <c r="BU2" t="e">
        <f>AND('Formato Solicitud'!D15,"AAAAAFy3v0g=")</f>
        <v>#VALUE!</v>
      </c>
      <c r="BV2" t="e">
        <f>AND('Formato Solicitud'!E15,"AAAAAFy3v0k=")</f>
        <v>#VALUE!</v>
      </c>
      <c r="BW2" t="e">
        <f>AND('Formato Solicitud'!F15,"AAAAAFy3v0o=")</f>
        <v>#VALUE!</v>
      </c>
      <c r="BX2" t="e">
        <f>AND('Formato Solicitud'!G15,"AAAAAFy3v0s=")</f>
        <v>#VALUE!</v>
      </c>
      <c r="BY2" t="e">
        <f>AND('Formato Solicitud'!H15,"AAAAAFy3v0w=")</f>
        <v>#VALUE!</v>
      </c>
      <c r="BZ2" t="e">
        <f>AND('Formato Solicitud'!I15,"AAAAAFy3v00=")</f>
        <v>#VALUE!</v>
      </c>
      <c r="CA2" t="e">
        <f>AND('Formato Solicitud'!J15,"AAAAAFy3v04=")</f>
        <v>#VALUE!</v>
      </c>
      <c r="CB2" t="e">
        <f>AND('Formato Solicitud'!K15,"AAAAAFy3v08=")</f>
        <v>#VALUE!</v>
      </c>
      <c r="CC2" t="e">
        <f>AND('Formato Solicitud'!L15,"AAAAAFy3v1A=")</f>
        <v>#VALUE!</v>
      </c>
      <c r="CD2" t="e">
        <f>AND('Formato Solicitud'!M15,"AAAAAFy3v1E=")</f>
        <v>#VALUE!</v>
      </c>
      <c r="CE2" t="e">
        <f>AND('Formato Solicitud'!N15,"AAAAAFy3v1I=")</f>
        <v>#VALUE!</v>
      </c>
      <c r="CF2" t="e">
        <f>AND('Formato Solicitud'!O15,"AAAAAFy3v1M=")</f>
        <v>#VALUE!</v>
      </c>
      <c r="CG2" t="e">
        <f>AND('Formato Solicitud'!P15,"AAAAAFy3v1Q=")</f>
        <v>#VALUE!</v>
      </c>
      <c r="CH2" t="e">
        <f>AND('Formato Solicitud'!Q15,"AAAAAFy3v1U=")</f>
        <v>#VALUE!</v>
      </c>
      <c r="CI2">
        <f>IF('Formato Solicitud'!17:17,"AAAAAFy3v1Y=",0)</f>
        <v>0</v>
      </c>
      <c r="CJ2" t="e">
        <f>AND('Formato Solicitud'!A16,"AAAAAFy3v1c=")</f>
        <v>#VALUE!</v>
      </c>
      <c r="CK2" t="e">
        <f>AND('Formato Solicitud'!B16,"AAAAAFy3v1g=")</f>
        <v>#VALUE!</v>
      </c>
      <c r="CL2" t="e">
        <f>AND('Formato Solicitud'!C16,"AAAAAFy3v1k=")</f>
        <v>#VALUE!</v>
      </c>
      <c r="CM2" t="e">
        <f>AND('Formato Solicitud'!D16,"AAAAAFy3v1o=")</f>
        <v>#VALUE!</v>
      </c>
      <c r="CN2" t="e">
        <f>AND('Formato Solicitud'!E16,"AAAAAFy3v1s=")</f>
        <v>#VALUE!</v>
      </c>
      <c r="CO2" t="e">
        <f>AND('Formato Solicitud'!F16,"AAAAAFy3v1w=")</f>
        <v>#VALUE!</v>
      </c>
      <c r="CP2" t="e">
        <f>AND('Formato Solicitud'!G16,"AAAAAFy3v10=")</f>
        <v>#VALUE!</v>
      </c>
      <c r="CQ2" t="e">
        <f>AND('Formato Solicitud'!H16,"AAAAAFy3v14=")</f>
        <v>#VALUE!</v>
      </c>
      <c r="CR2" t="e">
        <f>AND('Formato Solicitud'!I16,"AAAAAFy3v18=")</f>
        <v>#VALUE!</v>
      </c>
      <c r="CS2" t="e">
        <f>AND('Formato Solicitud'!J16,"AAAAAFy3v2A=")</f>
        <v>#VALUE!</v>
      </c>
      <c r="CT2" t="e">
        <f>AND('Formato Solicitud'!K16,"AAAAAFy3v2E=")</f>
        <v>#VALUE!</v>
      </c>
      <c r="CU2" t="e">
        <f>AND('Formato Solicitud'!L16,"AAAAAFy3v2I=")</f>
        <v>#VALUE!</v>
      </c>
      <c r="CV2" t="e">
        <f>AND('Formato Solicitud'!M16,"AAAAAFy3v2M=")</f>
        <v>#VALUE!</v>
      </c>
      <c r="CW2" t="e">
        <f>AND('Formato Solicitud'!N16,"AAAAAFy3v2Q=")</f>
        <v>#VALUE!</v>
      </c>
      <c r="CX2" t="e">
        <f>AND('Formato Solicitud'!O17,"AAAAAFy3v2U=")</f>
        <v>#VALUE!</v>
      </c>
      <c r="CY2" t="e">
        <f>AND('Formato Solicitud'!P17,"AAAAAFy3v2Y=")</f>
        <v>#VALUE!</v>
      </c>
      <c r="CZ2" t="e">
        <f>AND('Formato Solicitud'!Q17,"AAAAAFy3v2c=")</f>
        <v>#VALUE!</v>
      </c>
      <c r="DA2">
        <f>IF('Formato Solicitud'!18:18,"AAAAAFy3v2g=",0)</f>
        <v>0</v>
      </c>
      <c r="DB2" t="e">
        <f>AND('Formato Solicitud'!#REF!,"AAAAAFy3v2k=")</f>
        <v>#REF!</v>
      </c>
      <c r="DC2" t="e">
        <f>AND('Formato Solicitud'!B18,"AAAAAFy3v2o=")</f>
        <v>#VALUE!</v>
      </c>
      <c r="DD2" t="e">
        <f>AND('Formato Solicitud'!C18,"AAAAAFy3v2s=")</f>
        <v>#VALUE!</v>
      </c>
      <c r="DE2" t="e">
        <f>AND('Formato Solicitud'!D18,"AAAAAFy3v2w=")</f>
        <v>#VALUE!</v>
      </c>
      <c r="DF2" t="e">
        <f>AND('Formato Solicitud'!E18,"AAAAAFy3v20=")</f>
        <v>#VALUE!</v>
      </c>
      <c r="DG2" t="e">
        <f>AND('Formato Solicitud'!F18,"AAAAAFy3v24=")</f>
        <v>#VALUE!</v>
      </c>
      <c r="DH2" t="e">
        <f>AND('Formato Solicitud'!G18,"AAAAAFy3v28=")</f>
        <v>#VALUE!</v>
      </c>
      <c r="DI2" t="e">
        <f>AND('Formato Solicitud'!H18,"AAAAAFy3v3A=")</f>
        <v>#VALUE!</v>
      </c>
      <c r="DJ2" t="e">
        <f>AND('Formato Solicitud'!I18,"AAAAAFy3v3E=")</f>
        <v>#VALUE!</v>
      </c>
      <c r="DK2" t="e">
        <f>AND('Formato Solicitud'!J18,"AAAAAFy3v3I=")</f>
        <v>#VALUE!</v>
      </c>
      <c r="DL2" t="e">
        <f>AND('Formato Solicitud'!K18,"AAAAAFy3v3M=")</f>
        <v>#VALUE!</v>
      </c>
      <c r="DM2" t="e">
        <f>AND('Formato Solicitud'!L18,"AAAAAFy3v3Q=")</f>
        <v>#VALUE!</v>
      </c>
      <c r="DN2" t="e">
        <f>AND('Formato Solicitud'!M18,"AAAAAFy3v3U=")</f>
        <v>#VALUE!</v>
      </c>
      <c r="DO2" t="e">
        <f>AND('Formato Solicitud'!N18,"AAAAAFy3v3Y=")</f>
        <v>#VALUE!</v>
      </c>
      <c r="DP2" t="e">
        <f>AND('Formato Solicitud'!O18,"AAAAAFy3v3c=")</f>
        <v>#VALUE!</v>
      </c>
      <c r="DQ2" t="e">
        <f>AND('Formato Solicitud'!P18,"AAAAAFy3v3g=")</f>
        <v>#VALUE!</v>
      </c>
      <c r="DR2" t="e">
        <f>AND('Formato Solicitud'!Q18,"AAAAAFy3v3k=")</f>
        <v>#VALUE!</v>
      </c>
      <c r="DS2" t="e">
        <f>IF('Formato Solicitud'!#REF!,"AAAAAFy3v3o=",0)</f>
        <v>#REF!</v>
      </c>
      <c r="DT2" t="e">
        <f>AND('Formato Solicitud'!A18,"AAAAAFy3v3s=")</f>
        <v>#VALUE!</v>
      </c>
      <c r="DU2" t="e">
        <f>AND('Formato Solicitud'!#REF!,"AAAAAFy3v3w=")</f>
        <v>#REF!</v>
      </c>
      <c r="DV2" t="e">
        <f>AND('Formato Solicitud'!#REF!,"AAAAAFy3v30=")</f>
        <v>#REF!</v>
      </c>
      <c r="DW2" t="e">
        <f>AND('Formato Solicitud'!#REF!,"AAAAAFy3v34=")</f>
        <v>#REF!</v>
      </c>
      <c r="DX2" t="e">
        <f>AND('Formato Solicitud'!#REF!,"AAAAAFy3v38=")</f>
        <v>#REF!</v>
      </c>
      <c r="DY2" t="e">
        <f>AND('Formato Solicitud'!#REF!,"AAAAAFy3v4A=")</f>
        <v>#REF!</v>
      </c>
      <c r="DZ2" t="e">
        <f>AND('Formato Solicitud'!#REF!,"AAAAAFy3v4E=")</f>
        <v>#REF!</v>
      </c>
      <c r="EA2" t="e">
        <f>AND('Formato Solicitud'!#REF!,"AAAAAFy3v4I=")</f>
        <v>#REF!</v>
      </c>
      <c r="EB2" t="e">
        <f>AND('Formato Solicitud'!#REF!,"AAAAAFy3v4M=")</f>
        <v>#REF!</v>
      </c>
      <c r="EC2" t="e">
        <f>AND('Formato Solicitud'!#REF!,"AAAAAFy3v4Q=")</f>
        <v>#REF!</v>
      </c>
      <c r="ED2" t="e">
        <f>AND('Formato Solicitud'!#REF!,"AAAAAFy3v4U=")</f>
        <v>#REF!</v>
      </c>
      <c r="EE2" t="e">
        <f>AND('Formato Solicitud'!#REF!,"AAAAAFy3v4Y=")</f>
        <v>#REF!</v>
      </c>
      <c r="EF2" t="e">
        <f>AND('Formato Solicitud'!#REF!,"AAAAAFy3v4c=")</f>
        <v>#REF!</v>
      </c>
      <c r="EG2" t="e">
        <f>AND('Formato Solicitud'!#REF!,"AAAAAFy3v4g=")</f>
        <v>#REF!</v>
      </c>
      <c r="EH2" t="e">
        <f>AND('Formato Solicitud'!#REF!,"AAAAAFy3v4k=")</f>
        <v>#REF!</v>
      </c>
      <c r="EI2" t="e">
        <f>AND('Formato Solicitud'!#REF!,"AAAAAFy3v4o=")</f>
        <v>#REF!</v>
      </c>
      <c r="EJ2" t="e">
        <f>AND('Formato Solicitud'!#REF!,"AAAAAFy3v4s=")</f>
        <v>#REF!</v>
      </c>
      <c r="EK2" t="e">
        <f>IF('Formato Solicitud'!#REF!,"AAAAAFy3v4w=",0)</f>
        <v>#REF!</v>
      </c>
      <c r="EL2" t="e">
        <f>AND('Formato Solicitud'!#REF!,"AAAAAFy3v40=")</f>
        <v>#REF!</v>
      </c>
      <c r="EM2" t="e">
        <f>AND('Formato Solicitud'!#REF!,"AAAAAFy3v44=")</f>
        <v>#REF!</v>
      </c>
      <c r="EN2" t="e">
        <f>AND('Formato Solicitud'!#REF!,"AAAAAFy3v48=")</f>
        <v>#REF!</v>
      </c>
      <c r="EO2" t="e">
        <f>AND('Formato Solicitud'!#REF!,"AAAAAFy3v5A=")</f>
        <v>#REF!</v>
      </c>
      <c r="EP2" t="e">
        <f>AND('Formato Solicitud'!#REF!,"AAAAAFy3v5E=")</f>
        <v>#REF!</v>
      </c>
      <c r="EQ2" t="e">
        <f>AND('Formato Solicitud'!#REF!,"AAAAAFy3v5I=")</f>
        <v>#REF!</v>
      </c>
      <c r="ER2" t="e">
        <f>AND('Formato Solicitud'!#REF!,"AAAAAFy3v5M=")</f>
        <v>#REF!</v>
      </c>
      <c r="ES2" t="e">
        <f>AND('Formato Solicitud'!#REF!,"AAAAAFy3v5Q=")</f>
        <v>#REF!</v>
      </c>
      <c r="ET2" t="e">
        <f>AND('Formato Solicitud'!#REF!,"AAAAAFy3v5U=")</f>
        <v>#REF!</v>
      </c>
      <c r="EU2" t="e">
        <f>AND('Formato Solicitud'!#REF!,"AAAAAFy3v5Y=")</f>
        <v>#REF!</v>
      </c>
      <c r="EV2" t="e">
        <f>AND('Formato Solicitud'!#REF!,"AAAAAFy3v5c=")</f>
        <v>#REF!</v>
      </c>
      <c r="EW2" t="e">
        <f>AND('Formato Solicitud'!#REF!,"AAAAAFy3v5g=")</f>
        <v>#REF!</v>
      </c>
      <c r="EX2" t="e">
        <f>AND('Formato Solicitud'!#REF!,"AAAAAFy3v5k=")</f>
        <v>#REF!</v>
      </c>
      <c r="EY2" t="e">
        <f>AND('Formato Solicitud'!#REF!,"AAAAAFy3v5o=")</f>
        <v>#REF!</v>
      </c>
      <c r="EZ2" t="e">
        <f>AND('Formato Solicitud'!#REF!,"AAAAAFy3v5s=")</f>
        <v>#REF!</v>
      </c>
      <c r="FA2" t="e">
        <f>AND('Formato Solicitud'!#REF!,"AAAAAFy3v5w=")</f>
        <v>#REF!</v>
      </c>
      <c r="FB2" t="e">
        <f>AND('Formato Solicitud'!#REF!,"AAAAAFy3v50=")</f>
        <v>#REF!</v>
      </c>
      <c r="FC2">
        <f>IF('Formato Solicitud'!20:20,"AAAAAFy3v54=",0)</f>
        <v>0</v>
      </c>
      <c r="FD2" t="e">
        <f>AND('Formato Solicitud'!A20,"AAAAAFy3v58=")</f>
        <v>#VALUE!</v>
      </c>
      <c r="FE2" t="e">
        <f>AND('Formato Solicitud'!B20,"AAAAAFy3v6A=")</f>
        <v>#VALUE!</v>
      </c>
      <c r="FF2" t="e">
        <f>AND('Formato Solicitud'!C20,"AAAAAFy3v6E=")</f>
        <v>#VALUE!</v>
      </c>
      <c r="FG2" t="e">
        <f>AND('Formato Solicitud'!D20,"AAAAAFy3v6I=")</f>
        <v>#VALUE!</v>
      </c>
      <c r="FH2" t="e">
        <f>AND('Formato Solicitud'!E20,"AAAAAFy3v6M=")</f>
        <v>#VALUE!</v>
      </c>
      <c r="FI2" t="e">
        <f>AND('Formato Solicitud'!F20,"AAAAAFy3v6Q=")</f>
        <v>#VALUE!</v>
      </c>
      <c r="FJ2" t="e">
        <f>AND('Formato Solicitud'!G20,"AAAAAFy3v6U=")</f>
        <v>#VALUE!</v>
      </c>
      <c r="FK2" t="e">
        <f>AND('Formato Solicitud'!H20,"AAAAAFy3v6Y=")</f>
        <v>#VALUE!</v>
      </c>
      <c r="FL2" t="e">
        <f>AND('Formato Solicitud'!I20,"AAAAAFy3v6c=")</f>
        <v>#VALUE!</v>
      </c>
      <c r="FM2" t="e">
        <f>AND('Formato Solicitud'!J20,"AAAAAFy3v6g=")</f>
        <v>#VALUE!</v>
      </c>
      <c r="FN2" t="e">
        <f>AND('Formato Solicitud'!K20,"AAAAAFy3v6k=")</f>
        <v>#VALUE!</v>
      </c>
      <c r="FO2" t="e">
        <f>AND('Formato Solicitud'!L20,"AAAAAFy3v6o=")</f>
        <v>#VALUE!</v>
      </c>
      <c r="FP2" t="e">
        <f>AND('Formato Solicitud'!M20,"AAAAAFy3v6s=")</f>
        <v>#VALUE!</v>
      </c>
      <c r="FQ2" t="e">
        <f>AND('Formato Solicitud'!N20,"AAAAAFy3v6w=")</f>
        <v>#VALUE!</v>
      </c>
      <c r="FR2" t="e">
        <f>AND('Formato Solicitud'!O20,"AAAAAFy3v60=")</f>
        <v>#VALUE!</v>
      </c>
      <c r="FS2" t="e">
        <f>AND('Formato Solicitud'!P20,"AAAAAFy3v64=")</f>
        <v>#VALUE!</v>
      </c>
      <c r="FT2" t="e">
        <f>AND('Formato Solicitud'!Q20,"AAAAAFy3v68=")</f>
        <v>#VALUE!</v>
      </c>
      <c r="FU2">
        <f>IF('Formato Solicitud'!21:21,"AAAAAFy3v7A=",0)</f>
        <v>0</v>
      </c>
      <c r="FV2" t="e">
        <f>AND('Formato Solicitud'!A21,"AAAAAFy3v7E=")</f>
        <v>#VALUE!</v>
      </c>
      <c r="FW2" t="e">
        <f>AND('Formato Solicitud'!B21,"AAAAAFy3v7I=")</f>
        <v>#VALUE!</v>
      </c>
      <c r="FX2" t="e">
        <f>AND('Formato Solicitud'!C21,"AAAAAFy3v7M=")</f>
        <v>#VALUE!</v>
      </c>
      <c r="FY2" t="e">
        <f>AND('Formato Solicitud'!D21,"AAAAAFy3v7Q=")</f>
        <v>#VALUE!</v>
      </c>
      <c r="FZ2" t="e">
        <f>AND('Formato Solicitud'!E21,"AAAAAFy3v7U=")</f>
        <v>#VALUE!</v>
      </c>
      <c r="GA2" t="e">
        <f>AND('Formato Solicitud'!F21,"AAAAAFy3v7Y=")</f>
        <v>#VALUE!</v>
      </c>
      <c r="GB2" t="e">
        <f>AND('Formato Solicitud'!G21,"AAAAAFy3v7c=")</f>
        <v>#VALUE!</v>
      </c>
      <c r="GC2" t="e">
        <f>AND('Formato Solicitud'!H21,"AAAAAFy3v7g=")</f>
        <v>#VALUE!</v>
      </c>
      <c r="GD2" t="e">
        <f>AND('Formato Solicitud'!I21,"AAAAAFy3v7k=")</f>
        <v>#VALUE!</v>
      </c>
      <c r="GE2" t="e">
        <f>AND('Formato Solicitud'!J21,"AAAAAFy3v7o=")</f>
        <v>#VALUE!</v>
      </c>
      <c r="GF2" t="e">
        <f>AND('Formato Solicitud'!K21,"AAAAAFy3v7s=")</f>
        <v>#VALUE!</v>
      </c>
      <c r="GG2" t="e">
        <f>AND('Formato Solicitud'!L21,"AAAAAFy3v7w=")</f>
        <v>#VALUE!</v>
      </c>
      <c r="GH2" t="e">
        <f>AND('Formato Solicitud'!M21,"AAAAAFy3v70=")</f>
        <v>#VALUE!</v>
      </c>
      <c r="GI2" t="e">
        <f>AND('Formato Solicitud'!N21,"AAAAAFy3v74=")</f>
        <v>#VALUE!</v>
      </c>
      <c r="GJ2" t="e">
        <f>AND('Formato Solicitud'!O21,"AAAAAFy3v78=")</f>
        <v>#VALUE!</v>
      </c>
      <c r="GK2" t="e">
        <f>AND('Formato Solicitud'!P21,"AAAAAFy3v8A=")</f>
        <v>#VALUE!</v>
      </c>
      <c r="GL2" t="e">
        <f>AND('Formato Solicitud'!Q21,"AAAAAFy3v8E=")</f>
        <v>#VALUE!</v>
      </c>
      <c r="GM2">
        <f>IF('Formato Solicitud'!22:22,"AAAAAFy3v8I=",0)</f>
        <v>0</v>
      </c>
      <c r="GN2" t="e">
        <f>AND('Formato Solicitud'!A22,"AAAAAFy3v8M=")</f>
        <v>#VALUE!</v>
      </c>
      <c r="GO2" t="e">
        <f>AND('Formato Solicitud'!B22,"AAAAAFy3v8Q=")</f>
        <v>#VALUE!</v>
      </c>
      <c r="GP2" t="e">
        <f>AND('Formato Solicitud'!C22,"AAAAAFy3v8U=")</f>
        <v>#VALUE!</v>
      </c>
      <c r="GQ2" t="e">
        <f>AND('Formato Solicitud'!D22,"AAAAAFy3v8Y=")</f>
        <v>#VALUE!</v>
      </c>
      <c r="GR2" t="e">
        <f>AND('Formato Solicitud'!E22,"AAAAAFy3v8c=")</f>
        <v>#VALUE!</v>
      </c>
      <c r="GS2" t="e">
        <f>AND('Formato Solicitud'!F22,"AAAAAFy3v8g=")</f>
        <v>#VALUE!</v>
      </c>
      <c r="GT2" t="e">
        <f>AND('Formato Solicitud'!G22,"AAAAAFy3v8k=")</f>
        <v>#VALUE!</v>
      </c>
      <c r="GU2" t="e">
        <f>AND('Formato Solicitud'!H22,"AAAAAFy3v8o=")</f>
        <v>#VALUE!</v>
      </c>
      <c r="GV2" t="e">
        <f>AND('Formato Solicitud'!I22,"AAAAAFy3v8s=")</f>
        <v>#VALUE!</v>
      </c>
      <c r="GW2" t="e">
        <f>AND('Formato Solicitud'!J22,"AAAAAFy3v8w=")</f>
        <v>#VALUE!</v>
      </c>
      <c r="GX2" t="e">
        <f>AND('Formato Solicitud'!K22,"AAAAAFy3v80=")</f>
        <v>#VALUE!</v>
      </c>
      <c r="GY2" t="e">
        <f>AND('Formato Solicitud'!L22,"AAAAAFy3v84=")</f>
        <v>#VALUE!</v>
      </c>
      <c r="GZ2" t="e">
        <f>AND('Formato Solicitud'!M22,"AAAAAFy3v88=")</f>
        <v>#VALUE!</v>
      </c>
      <c r="HA2" t="e">
        <f>AND('Formato Solicitud'!N22,"AAAAAFy3v9A=")</f>
        <v>#VALUE!</v>
      </c>
      <c r="HB2" t="e">
        <f>AND('Formato Solicitud'!O22,"AAAAAFy3v9E=")</f>
        <v>#VALUE!</v>
      </c>
      <c r="HC2" t="e">
        <f>AND('Formato Solicitud'!P22,"AAAAAFy3v9I=")</f>
        <v>#VALUE!</v>
      </c>
      <c r="HD2" t="e">
        <f>AND('Formato Solicitud'!Q22,"AAAAAFy3v9M=")</f>
        <v>#VALUE!</v>
      </c>
      <c r="HE2" t="e">
        <f>IF('Formato Solicitud'!#REF!,"AAAAAFy3v9Q=",0)</f>
        <v>#REF!</v>
      </c>
      <c r="HF2" t="e">
        <f>AND('Formato Solicitud'!#REF!,"AAAAAFy3v9U=")</f>
        <v>#REF!</v>
      </c>
      <c r="HG2" t="e">
        <f>AND('Formato Solicitud'!#REF!,"AAAAAFy3v9Y=")</f>
        <v>#REF!</v>
      </c>
      <c r="HH2" t="e">
        <f>AND('Formato Solicitud'!#REF!,"AAAAAFy3v9c=")</f>
        <v>#REF!</v>
      </c>
      <c r="HI2" t="e">
        <f>AND('Formato Solicitud'!#REF!,"AAAAAFy3v9g=")</f>
        <v>#REF!</v>
      </c>
      <c r="HJ2" t="e">
        <f>AND('Formato Solicitud'!#REF!,"AAAAAFy3v9k=")</f>
        <v>#REF!</v>
      </c>
      <c r="HK2" t="e">
        <f>AND('Formato Solicitud'!#REF!,"AAAAAFy3v9o=")</f>
        <v>#REF!</v>
      </c>
      <c r="HL2" t="e">
        <f>AND('Formato Solicitud'!#REF!,"AAAAAFy3v9s=")</f>
        <v>#REF!</v>
      </c>
      <c r="HM2" t="e">
        <f>AND('Formato Solicitud'!#REF!,"AAAAAFy3v9w=")</f>
        <v>#REF!</v>
      </c>
      <c r="HN2" t="e">
        <f>AND('Formato Solicitud'!#REF!,"AAAAAFy3v90=")</f>
        <v>#REF!</v>
      </c>
      <c r="HO2" t="e">
        <f>AND('Formato Solicitud'!#REF!,"AAAAAFy3v94=")</f>
        <v>#REF!</v>
      </c>
      <c r="HP2" t="e">
        <f>AND('Formato Solicitud'!#REF!,"AAAAAFy3v98=")</f>
        <v>#REF!</v>
      </c>
      <c r="HQ2" t="e">
        <f>AND('Formato Solicitud'!#REF!,"AAAAAFy3v+A=")</f>
        <v>#REF!</v>
      </c>
      <c r="HR2" t="e">
        <f>AND('Formato Solicitud'!#REF!,"AAAAAFy3v+E=")</f>
        <v>#REF!</v>
      </c>
      <c r="HS2" t="e">
        <f>AND('Formato Solicitud'!#REF!,"AAAAAFy3v+I=")</f>
        <v>#REF!</v>
      </c>
      <c r="HT2" t="e">
        <f>AND('Formato Solicitud'!#REF!,"AAAAAFy3v+M=")</f>
        <v>#REF!</v>
      </c>
      <c r="HU2" t="e">
        <f>AND('Formato Solicitud'!#REF!,"AAAAAFy3v+Q=")</f>
        <v>#REF!</v>
      </c>
      <c r="HV2" t="e">
        <f>AND('Formato Solicitud'!#REF!,"AAAAAFy3v+U=")</f>
        <v>#REF!</v>
      </c>
      <c r="HW2">
        <f>IF('Formato Solicitud'!23:23,"AAAAAFy3v+Y=",0)</f>
        <v>0</v>
      </c>
      <c r="HX2" t="e">
        <f>AND('Formato Solicitud'!A23,"AAAAAFy3v+c=")</f>
        <v>#VALUE!</v>
      </c>
      <c r="HY2" t="e">
        <f>AND('Formato Solicitud'!B23,"AAAAAFy3v+g=")</f>
        <v>#VALUE!</v>
      </c>
      <c r="HZ2" t="e">
        <f>AND('Formato Solicitud'!C23,"AAAAAFy3v+k=")</f>
        <v>#VALUE!</v>
      </c>
      <c r="IA2" t="e">
        <f>AND('Formato Solicitud'!D23,"AAAAAFy3v+o=")</f>
        <v>#VALUE!</v>
      </c>
      <c r="IB2" t="e">
        <f>AND('Formato Solicitud'!E23,"AAAAAFy3v+s=")</f>
        <v>#VALUE!</v>
      </c>
      <c r="IC2" t="e">
        <f>AND('Formato Solicitud'!F23,"AAAAAFy3v+w=")</f>
        <v>#VALUE!</v>
      </c>
      <c r="ID2" t="e">
        <f>AND('Formato Solicitud'!G23,"AAAAAFy3v+0=")</f>
        <v>#VALUE!</v>
      </c>
      <c r="IE2" t="e">
        <f>AND('Formato Solicitud'!H23,"AAAAAFy3v+4=")</f>
        <v>#VALUE!</v>
      </c>
      <c r="IF2" t="e">
        <f>AND('Formato Solicitud'!I23,"AAAAAFy3v+8=")</f>
        <v>#VALUE!</v>
      </c>
      <c r="IG2" t="e">
        <f>AND('Formato Solicitud'!J23,"AAAAAFy3v/A=")</f>
        <v>#VALUE!</v>
      </c>
      <c r="IH2" t="e">
        <f>AND('Formato Solicitud'!K23,"AAAAAFy3v/E=")</f>
        <v>#VALUE!</v>
      </c>
      <c r="II2" t="e">
        <f>AND('Formato Solicitud'!L23,"AAAAAFy3v/I=")</f>
        <v>#VALUE!</v>
      </c>
      <c r="IJ2" t="e">
        <f>AND('Formato Solicitud'!M23,"AAAAAFy3v/M=")</f>
        <v>#VALUE!</v>
      </c>
      <c r="IK2" t="e">
        <f>AND('Formato Solicitud'!N23,"AAAAAFy3v/Q=")</f>
        <v>#VALUE!</v>
      </c>
      <c r="IL2" t="e">
        <f>AND('Formato Solicitud'!O23,"AAAAAFy3v/U=")</f>
        <v>#VALUE!</v>
      </c>
      <c r="IM2" t="e">
        <f>AND('Formato Solicitud'!P23,"AAAAAFy3v/Y=")</f>
        <v>#VALUE!</v>
      </c>
      <c r="IN2" t="e">
        <f>AND('Formato Solicitud'!Q23,"AAAAAFy3v/c=")</f>
        <v>#VALUE!</v>
      </c>
      <c r="IO2">
        <f>IF('Formato Solicitud'!24:24,"AAAAAFy3v/g=",0)</f>
        <v>0</v>
      </c>
      <c r="IP2" t="e">
        <f>AND('Formato Solicitud'!A24,"AAAAAFy3v/k=")</f>
        <v>#VALUE!</v>
      </c>
      <c r="IQ2" t="e">
        <f>AND('Formato Solicitud'!B24,"AAAAAFy3v/o=")</f>
        <v>#VALUE!</v>
      </c>
      <c r="IR2" t="e">
        <f>AND('Formato Solicitud'!C24,"AAAAAFy3v/s=")</f>
        <v>#VALUE!</v>
      </c>
      <c r="IS2" t="e">
        <f>AND('Formato Solicitud'!D24,"AAAAAFy3v/w=")</f>
        <v>#VALUE!</v>
      </c>
      <c r="IT2" t="e">
        <f>AND('Formato Solicitud'!E24,"AAAAAFy3v/0=")</f>
        <v>#VALUE!</v>
      </c>
      <c r="IU2" t="e">
        <f>AND('Formato Solicitud'!F24,"AAAAAFy3v/4=")</f>
        <v>#VALUE!</v>
      </c>
      <c r="IV2" t="e">
        <f>AND('Formato Solicitud'!G24,"AAAAAFy3v/8=")</f>
        <v>#VALUE!</v>
      </c>
    </row>
    <row r="3" spans="1:245" ht="12.75">
      <c r="A3" t="e">
        <f>AND('Formato Solicitud'!H24,"AAAAAG+rngA=")</f>
        <v>#VALUE!</v>
      </c>
      <c r="B3" t="e">
        <f>AND('Formato Solicitud'!I24,"AAAAAG+rngE=")</f>
        <v>#VALUE!</v>
      </c>
      <c r="C3" t="e">
        <f>AND('Formato Solicitud'!J24,"AAAAAG+rngI=")</f>
        <v>#VALUE!</v>
      </c>
      <c r="D3" t="e">
        <f>AND('Formato Solicitud'!K24,"AAAAAG+rngM=")</f>
        <v>#VALUE!</v>
      </c>
      <c r="E3" t="e">
        <f>AND('Formato Solicitud'!L24,"AAAAAG+rngQ=")</f>
        <v>#VALUE!</v>
      </c>
      <c r="F3" t="e">
        <f>AND('Formato Solicitud'!M24,"AAAAAG+rngU=")</f>
        <v>#VALUE!</v>
      </c>
      <c r="G3" t="e">
        <f>AND('Formato Solicitud'!N24,"AAAAAG+rngY=")</f>
        <v>#VALUE!</v>
      </c>
      <c r="H3" t="e">
        <f>AND('Formato Solicitud'!O24,"AAAAAG+rngc=")</f>
        <v>#VALUE!</v>
      </c>
      <c r="I3" t="e">
        <f>AND('Formato Solicitud'!P24,"AAAAAG+rngg=")</f>
        <v>#VALUE!</v>
      </c>
      <c r="J3" t="e">
        <f>AND('Formato Solicitud'!Q24,"AAAAAG+rngk=")</f>
        <v>#VALUE!</v>
      </c>
      <c r="K3">
        <f>IF('Formato Solicitud'!25:25,"AAAAAG+rngo=",0)</f>
        <v>0</v>
      </c>
      <c r="L3" t="e">
        <f>AND('Formato Solicitud'!A25,"AAAAAG+rngs=")</f>
        <v>#VALUE!</v>
      </c>
      <c r="M3" t="e">
        <f>AND('Formato Solicitud'!B25,"AAAAAG+rngw=")</f>
        <v>#VALUE!</v>
      </c>
      <c r="N3" t="e">
        <f>AND('Formato Solicitud'!C25,"AAAAAG+rng0=")</f>
        <v>#VALUE!</v>
      </c>
      <c r="O3" t="e">
        <f>AND('Formato Solicitud'!D25,"AAAAAG+rng4=")</f>
        <v>#VALUE!</v>
      </c>
      <c r="P3" t="e">
        <f>AND('Formato Solicitud'!E25,"AAAAAG+rng8=")</f>
        <v>#VALUE!</v>
      </c>
      <c r="Q3" t="e">
        <f>AND('Formato Solicitud'!F25,"AAAAAG+rnhA=")</f>
        <v>#VALUE!</v>
      </c>
      <c r="R3" t="e">
        <f>AND('Formato Solicitud'!G25,"AAAAAG+rnhE=")</f>
        <v>#VALUE!</v>
      </c>
      <c r="S3" t="e">
        <f>AND('Formato Solicitud'!H25,"AAAAAG+rnhI=")</f>
        <v>#VALUE!</v>
      </c>
      <c r="T3" t="e">
        <f>AND('Formato Solicitud'!I25,"AAAAAG+rnhM=")</f>
        <v>#VALUE!</v>
      </c>
      <c r="U3" t="e">
        <f>AND('Formato Solicitud'!J25,"AAAAAG+rnhQ=")</f>
        <v>#VALUE!</v>
      </c>
      <c r="V3" t="e">
        <f>AND('Formato Solicitud'!K25,"AAAAAG+rnhU=")</f>
        <v>#VALUE!</v>
      </c>
      <c r="W3" t="e">
        <f>AND('Formato Solicitud'!L25,"AAAAAG+rnhY=")</f>
        <v>#VALUE!</v>
      </c>
      <c r="X3" t="e">
        <f>AND('Formato Solicitud'!M25,"AAAAAG+rnhc=")</f>
        <v>#VALUE!</v>
      </c>
      <c r="Y3" t="e">
        <f>AND('Formato Solicitud'!N25,"AAAAAG+rnhg=")</f>
        <v>#VALUE!</v>
      </c>
      <c r="Z3" t="e">
        <f>AND('Formato Solicitud'!O25,"AAAAAG+rnhk=")</f>
        <v>#VALUE!</v>
      </c>
      <c r="AA3" t="e">
        <f>AND('Formato Solicitud'!P25,"AAAAAG+rnho=")</f>
        <v>#VALUE!</v>
      </c>
      <c r="AB3" t="e">
        <f>AND('Formato Solicitud'!Q25,"AAAAAG+rnhs=")</f>
        <v>#VALUE!</v>
      </c>
      <c r="AC3">
        <f>IF('Formato Solicitud'!26:26,"AAAAAG+rnhw=",0)</f>
        <v>0</v>
      </c>
      <c r="AD3" t="e">
        <f>AND('Formato Solicitud'!A26,"AAAAAG+rnh0=")</f>
        <v>#VALUE!</v>
      </c>
      <c r="AE3" t="e">
        <f>AND('Formato Solicitud'!B26,"AAAAAG+rnh4=")</f>
        <v>#VALUE!</v>
      </c>
      <c r="AF3" t="e">
        <f>AND('Formato Solicitud'!C26,"AAAAAG+rnh8=")</f>
        <v>#VALUE!</v>
      </c>
      <c r="AG3" t="e">
        <f>AND('Formato Solicitud'!D26,"AAAAAG+rniA=")</f>
        <v>#VALUE!</v>
      </c>
      <c r="AH3" t="e">
        <f>AND('Formato Solicitud'!E26,"AAAAAG+rniE=")</f>
        <v>#VALUE!</v>
      </c>
      <c r="AI3" t="e">
        <f>AND('Formato Solicitud'!F26,"AAAAAG+rniI=")</f>
        <v>#VALUE!</v>
      </c>
      <c r="AJ3" t="e">
        <f>AND('Formato Solicitud'!G26,"AAAAAG+rniM=")</f>
        <v>#VALUE!</v>
      </c>
      <c r="AK3" t="e">
        <f>AND('Formato Solicitud'!H26,"AAAAAG+rniQ=")</f>
        <v>#VALUE!</v>
      </c>
      <c r="AL3" t="e">
        <f>AND('Formato Solicitud'!I26,"AAAAAG+rniU=")</f>
        <v>#VALUE!</v>
      </c>
      <c r="AM3" t="e">
        <f>AND('Formato Solicitud'!J26,"AAAAAG+rniY=")</f>
        <v>#VALUE!</v>
      </c>
      <c r="AN3" t="e">
        <f>AND('Formato Solicitud'!K26,"AAAAAG+rnic=")</f>
        <v>#VALUE!</v>
      </c>
      <c r="AO3" t="e">
        <f>AND('Formato Solicitud'!L26,"AAAAAG+rnig=")</f>
        <v>#VALUE!</v>
      </c>
      <c r="AP3" t="e">
        <f>AND('Formato Solicitud'!M26,"AAAAAG+rnik=")</f>
        <v>#VALUE!</v>
      </c>
      <c r="AQ3" t="e">
        <f>AND('Formato Solicitud'!N26,"AAAAAG+rnio=")</f>
        <v>#VALUE!</v>
      </c>
      <c r="AR3" t="e">
        <f>AND('Formato Solicitud'!O26,"AAAAAG+rnis=")</f>
        <v>#VALUE!</v>
      </c>
      <c r="AS3" t="e">
        <f>AND('Formato Solicitud'!P26,"AAAAAG+rniw=")</f>
        <v>#VALUE!</v>
      </c>
      <c r="AT3" t="e">
        <f>AND('Formato Solicitud'!Q26,"AAAAAG+rni0=")</f>
        <v>#VALUE!</v>
      </c>
      <c r="AU3">
        <f>IF('Formato Solicitud'!28:28,"AAAAAG+rni4=",0)</f>
        <v>0</v>
      </c>
      <c r="AV3" t="e">
        <f>AND('Formato Solicitud'!A28,"AAAAAG+rni8=")</f>
        <v>#VALUE!</v>
      </c>
      <c r="AW3" t="e">
        <f>AND('Formato Solicitud'!B28,"AAAAAG+rnjA=")</f>
        <v>#VALUE!</v>
      </c>
      <c r="AX3" t="e">
        <f>AND('Formato Solicitud'!C28,"AAAAAG+rnjE=")</f>
        <v>#VALUE!</v>
      </c>
      <c r="AY3" t="e">
        <f>AND('Formato Solicitud'!D28,"AAAAAG+rnjI=")</f>
        <v>#VALUE!</v>
      </c>
      <c r="AZ3" t="e">
        <f>AND('Formato Solicitud'!E28,"AAAAAG+rnjM=")</f>
        <v>#VALUE!</v>
      </c>
      <c r="BA3" t="e">
        <f>AND('Formato Solicitud'!F28,"AAAAAG+rnjQ=")</f>
        <v>#VALUE!</v>
      </c>
      <c r="BB3" t="e">
        <f>AND('Formato Solicitud'!G28,"AAAAAG+rnjU=")</f>
        <v>#VALUE!</v>
      </c>
      <c r="BC3" t="e">
        <f>AND('Formato Solicitud'!H28,"AAAAAG+rnjY=")</f>
        <v>#VALUE!</v>
      </c>
      <c r="BD3" t="e">
        <f>AND('Formato Solicitud'!I28,"AAAAAG+rnjc=")</f>
        <v>#VALUE!</v>
      </c>
      <c r="BE3" t="e">
        <f>AND('Formato Solicitud'!J28,"AAAAAG+rnjg=")</f>
        <v>#VALUE!</v>
      </c>
      <c r="BF3" t="e">
        <f>AND('Formato Solicitud'!K28,"AAAAAG+rnjk=")</f>
        <v>#VALUE!</v>
      </c>
      <c r="BG3" t="e">
        <f>AND('Formato Solicitud'!L28,"AAAAAG+rnjo=")</f>
        <v>#VALUE!</v>
      </c>
      <c r="BH3" t="e">
        <f>AND('Formato Solicitud'!M28,"AAAAAG+rnjs=")</f>
        <v>#VALUE!</v>
      </c>
      <c r="BI3" t="e">
        <f>AND('Formato Solicitud'!N27,"AAAAAG+rnjw=")</f>
        <v>#VALUE!</v>
      </c>
      <c r="BJ3" t="e">
        <f>AND('Formato Solicitud'!O27,"AAAAAG+rnj0=")</f>
        <v>#VALUE!</v>
      </c>
      <c r="BK3" t="e">
        <f>AND('Formato Solicitud'!P28,"AAAAAG+rnj4=")</f>
        <v>#VALUE!</v>
      </c>
      <c r="BL3" t="e">
        <f>AND('Formato Solicitud'!Q28,"AAAAAG+rnj8=")</f>
        <v>#VALUE!</v>
      </c>
      <c r="BM3">
        <f>IF('Formato Solicitud'!29:29,"AAAAAG+rnkA=",0)</f>
        <v>0</v>
      </c>
      <c r="BN3" t="e">
        <f>AND('Formato Solicitud'!A29,"AAAAAG+rnkE=")</f>
        <v>#VALUE!</v>
      </c>
      <c r="BO3" t="e">
        <f>AND('Formato Solicitud'!B29,"AAAAAG+rnkI=")</f>
        <v>#VALUE!</v>
      </c>
      <c r="BP3" t="e">
        <f>AND('Formato Solicitud'!C29,"AAAAAG+rnkM=")</f>
        <v>#VALUE!</v>
      </c>
      <c r="BQ3" t="e">
        <f>AND('Formato Solicitud'!D29,"AAAAAG+rnkQ=")</f>
        <v>#VALUE!</v>
      </c>
      <c r="BR3" t="e">
        <f>AND('Formato Solicitud'!E29,"AAAAAG+rnkU=")</f>
        <v>#VALUE!</v>
      </c>
      <c r="BS3" t="e">
        <f>AND('Formato Solicitud'!F29,"AAAAAG+rnkY=")</f>
        <v>#VALUE!</v>
      </c>
      <c r="BT3" t="e">
        <f>AND('Formato Solicitud'!G29,"AAAAAG+rnkc=")</f>
        <v>#VALUE!</v>
      </c>
      <c r="BU3" t="e">
        <f>AND('Formato Solicitud'!H29,"AAAAAG+rnkg=")</f>
        <v>#VALUE!</v>
      </c>
      <c r="BV3" t="e">
        <f>AND('Formato Solicitud'!I29,"AAAAAG+rnkk=")</f>
        <v>#VALUE!</v>
      </c>
      <c r="BW3" t="e">
        <f>AND('Formato Solicitud'!J29,"AAAAAG+rnko=")</f>
        <v>#VALUE!</v>
      </c>
      <c r="BX3" t="e">
        <f>AND('Formato Solicitud'!K29,"AAAAAG+rnks=")</f>
        <v>#VALUE!</v>
      </c>
      <c r="BY3" t="e">
        <f>AND('Formato Solicitud'!L29,"AAAAAG+rnkw=")</f>
        <v>#VALUE!</v>
      </c>
      <c r="BZ3" t="e">
        <f>AND('Formato Solicitud'!M29,"AAAAAG+rnk0=")</f>
        <v>#VALUE!</v>
      </c>
      <c r="CA3" t="e">
        <f>AND('Formato Solicitud'!N29,"AAAAAG+rnk4=")</f>
        <v>#VALUE!</v>
      </c>
      <c r="CB3" t="e">
        <f>AND('Formato Solicitud'!O29,"AAAAAG+rnk8=")</f>
        <v>#VALUE!</v>
      </c>
      <c r="CC3" t="e">
        <f>AND('Formato Solicitud'!P29,"AAAAAG+rnlA=")</f>
        <v>#VALUE!</v>
      </c>
      <c r="CD3" t="e">
        <f>AND('Formato Solicitud'!Q29,"AAAAAG+rnlE=")</f>
        <v>#VALUE!</v>
      </c>
      <c r="CE3">
        <f>IF('Formato Solicitud'!30:30,"AAAAAG+rnlI=",0)</f>
        <v>0</v>
      </c>
      <c r="CF3" t="e">
        <f>AND('Formato Solicitud'!A30,"AAAAAG+rnlM=")</f>
        <v>#VALUE!</v>
      </c>
      <c r="CG3" t="e">
        <f>AND('Formato Solicitud'!B30,"AAAAAG+rnlQ=")</f>
        <v>#VALUE!</v>
      </c>
      <c r="CH3" t="e">
        <f>AND('Formato Solicitud'!C30,"AAAAAG+rnlU=")</f>
        <v>#VALUE!</v>
      </c>
      <c r="CI3" t="e">
        <f>AND('Formato Solicitud'!D30,"AAAAAG+rnlY=")</f>
        <v>#VALUE!</v>
      </c>
      <c r="CJ3" t="e">
        <f>AND('Formato Solicitud'!E30,"AAAAAG+rnlc=")</f>
        <v>#VALUE!</v>
      </c>
      <c r="CK3" t="e">
        <f>AND('Formato Solicitud'!F30,"AAAAAG+rnlg=")</f>
        <v>#VALUE!</v>
      </c>
      <c r="CL3" t="e">
        <f>AND('Formato Solicitud'!G30,"AAAAAG+rnlk=")</f>
        <v>#VALUE!</v>
      </c>
      <c r="CM3" t="e">
        <f>AND('Formato Solicitud'!H30,"AAAAAG+rnlo=")</f>
        <v>#VALUE!</v>
      </c>
      <c r="CN3" t="e">
        <f>AND('Formato Solicitud'!I30,"AAAAAG+rnls=")</f>
        <v>#VALUE!</v>
      </c>
      <c r="CO3" t="e">
        <f>AND('Formato Solicitud'!J30,"AAAAAG+rnlw=")</f>
        <v>#VALUE!</v>
      </c>
      <c r="CP3" t="e">
        <f>AND('Formato Solicitud'!K30,"AAAAAG+rnl0=")</f>
        <v>#VALUE!</v>
      </c>
      <c r="CQ3" t="e">
        <f>AND('Formato Solicitud'!L30,"AAAAAG+rnl4=")</f>
        <v>#VALUE!</v>
      </c>
      <c r="CR3" t="e">
        <f>AND('Formato Solicitud'!M30,"AAAAAG+rnl8=")</f>
        <v>#VALUE!</v>
      </c>
      <c r="CS3" t="e">
        <f>AND('Formato Solicitud'!N30,"AAAAAG+rnmA=")</f>
        <v>#VALUE!</v>
      </c>
      <c r="CT3" t="e">
        <f>AND('Formato Solicitud'!O30,"AAAAAG+rnmE=")</f>
        <v>#VALUE!</v>
      </c>
      <c r="CU3" t="e">
        <f>AND('Formato Solicitud'!P30,"AAAAAG+rnmI=")</f>
        <v>#VALUE!</v>
      </c>
      <c r="CV3" t="e">
        <f>AND('Formato Solicitud'!Q30,"AAAAAG+rnmM=")</f>
        <v>#VALUE!</v>
      </c>
      <c r="CW3" t="e">
        <f>IF('Formato Solicitud'!#REF!,"AAAAAG+rnmQ=",0)</f>
        <v>#REF!</v>
      </c>
      <c r="CX3" t="e">
        <f>AND('Formato Solicitud'!#REF!,"AAAAAG+rnmU=")</f>
        <v>#REF!</v>
      </c>
      <c r="CY3" t="e">
        <f>AND('Formato Solicitud'!#REF!,"AAAAAG+rnmY=")</f>
        <v>#REF!</v>
      </c>
      <c r="CZ3" t="e">
        <f>AND('Formato Solicitud'!#REF!,"AAAAAG+rnmc=")</f>
        <v>#REF!</v>
      </c>
      <c r="DA3" t="e">
        <f>AND('Formato Solicitud'!#REF!,"AAAAAG+rnmg=")</f>
        <v>#REF!</v>
      </c>
      <c r="DB3" t="e">
        <f>AND('Formato Solicitud'!#REF!,"AAAAAG+rnmk=")</f>
        <v>#REF!</v>
      </c>
      <c r="DC3" t="e">
        <f>AND('Formato Solicitud'!#REF!,"AAAAAG+rnmo=")</f>
        <v>#REF!</v>
      </c>
      <c r="DD3" t="e">
        <f>AND('Formato Solicitud'!#REF!,"AAAAAG+rnms=")</f>
        <v>#REF!</v>
      </c>
      <c r="DE3" t="e">
        <f>AND('Formato Solicitud'!#REF!,"AAAAAG+rnmw=")</f>
        <v>#REF!</v>
      </c>
      <c r="DF3" t="e">
        <f>AND('Formato Solicitud'!#REF!,"AAAAAG+rnm0=")</f>
        <v>#REF!</v>
      </c>
      <c r="DG3" t="e">
        <f>AND('Formato Solicitud'!#REF!,"AAAAAG+rnm4=")</f>
        <v>#REF!</v>
      </c>
      <c r="DH3" t="e">
        <f>AND('Formato Solicitud'!#REF!,"AAAAAG+rnm8=")</f>
        <v>#REF!</v>
      </c>
      <c r="DI3" t="e">
        <f>AND('Formato Solicitud'!#REF!,"AAAAAG+rnnA=")</f>
        <v>#REF!</v>
      </c>
      <c r="DJ3" t="e">
        <f>AND('Formato Solicitud'!#REF!,"AAAAAG+rnnE=")</f>
        <v>#REF!</v>
      </c>
      <c r="DK3" t="e">
        <f>AND('Formato Solicitud'!#REF!,"AAAAAG+rnnI=")</f>
        <v>#REF!</v>
      </c>
      <c r="DL3" t="e">
        <f>AND('Formato Solicitud'!#REF!,"AAAAAG+rnnM=")</f>
        <v>#REF!</v>
      </c>
      <c r="DM3" t="e">
        <f>AND('Formato Solicitud'!#REF!,"AAAAAG+rnnQ=")</f>
        <v>#REF!</v>
      </c>
      <c r="DN3" t="e">
        <f>AND('Formato Solicitud'!#REF!,"AAAAAG+rnnU=")</f>
        <v>#REF!</v>
      </c>
      <c r="DO3">
        <f>IF('Formato Solicitud'!32:32,"AAAAAG+rnnY=",0)</f>
        <v>0</v>
      </c>
      <c r="DP3" t="e">
        <f>AND('Formato Solicitud'!A32,"AAAAAG+rnnc=")</f>
        <v>#VALUE!</v>
      </c>
      <c r="DQ3" t="e">
        <f>AND('Formato Solicitud'!B32,"AAAAAG+rnng=")</f>
        <v>#VALUE!</v>
      </c>
      <c r="DR3" t="e">
        <f>AND('Formato Solicitud'!C32,"AAAAAG+rnnk=")</f>
        <v>#VALUE!</v>
      </c>
      <c r="DS3" t="e">
        <f>AND('Formato Solicitud'!D32,"AAAAAG+rnno=")</f>
        <v>#VALUE!</v>
      </c>
      <c r="DT3" t="e">
        <f>AND('Formato Solicitud'!E32,"AAAAAG+rnns=")</f>
        <v>#VALUE!</v>
      </c>
      <c r="DU3" t="e">
        <f>AND('Formato Solicitud'!F32,"AAAAAG+rnnw=")</f>
        <v>#VALUE!</v>
      </c>
      <c r="DV3" t="e">
        <f>AND('Formato Solicitud'!G32,"AAAAAG+rnn0=")</f>
        <v>#VALUE!</v>
      </c>
      <c r="DW3" t="e">
        <f>AND('Formato Solicitud'!H32,"AAAAAG+rnn4=")</f>
        <v>#VALUE!</v>
      </c>
      <c r="DX3" t="e">
        <f>AND('Formato Solicitud'!I32,"AAAAAG+rnn8=")</f>
        <v>#VALUE!</v>
      </c>
      <c r="DY3" t="e">
        <f>AND('Formato Solicitud'!J32,"AAAAAG+rnoA=")</f>
        <v>#VALUE!</v>
      </c>
      <c r="DZ3" t="e">
        <f>AND('Formato Solicitud'!K32,"AAAAAG+rnoE=")</f>
        <v>#VALUE!</v>
      </c>
      <c r="EA3" t="e">
        <f>AND('Formato Solicitud'!L32,"AAAAAG+rnoI=")</f>
        <v>#VALUE!</v>
      </c>
      <c r="EB3" t="e">
        <f>AND('Formato Solicitud'!M32,"AAAAAG+rnoM=")</f>
        <v>#VALUE!</v>
      </c>
      <c r="EC3" t="e">
        <f>AND('Formato Solicitud'!N32,"AAAAAG+rnoQ=")</f>
        <v>#VALUE!</v>
      </c>
      <c r="ED3" t="e">
        <f>AND('Formato Solicitud'!O32,"AAAAAG+rnoU=")</f>
        <v>#VALUE!</v>
      </c>
      <c r="EE3" t="e">
        <f>AND('Formato Solicitud'!P32,"AAAAAG+rnoY=")</f>
        <v>#VALUE!</v>
      </c>
      <c r="EF3" t="e">
        <f>AND('Formato Solicitud'!Q32,"AAAAAG+rnoc=")</f>
        <v>#VALUE!</v>
      </c>
      <c r="EG3">
        <f>IF('Formato Solicitud'!33:33,"AAAAAG+rnog=",0)</f>
        <v>0</v>
      </c>
      <c r="EH3" t="e">
        <f>AND('Formato Solicitud'!A33,"AAAAAG+rnok=")</f>
        <v>#VALUE!</v>
      </c>
      <c r="EI3" t="e">
        <f>AND('Formato Solicitud'!B33,"AAAAAG+rnoo=")</f>
        <v>#VALUE!</v>
      </c>
      <c r="EJ3" t="e">
        <f>AND('Formato Solicitud'!C33,"AAAAAG+rnos=")</f>
        <v>#VALUE!</v>
      </c>
      <c r="EK3" t="e">
        <f>AND('Formato Solicitud'!D33,"AAAAAG+rnow=")</f>
        <v>#VALUE!</v>
      </c>
      <c r="EL3" t="e">
        <f>AND('Formato Solicitud'!E33,"AAAAAG+rno0=")</f>
        <v>#VALUE!</v>
      </c>
      <c r="EM3" t="e">
        <f>AND('Formato Solicitud'!F33,"AAAAAG+rno4=")</f>
        <v>#VALUE!</v>
      </c>
      <c r="EN3" t="e">
        <f>AND('Formato Solicitud'!G33,"AAAAAG+rno8=")</f>
        <v>#VALUE!</v>
      </c>
      <c r="EO3" t="e">
        <f>AND('Formato Solicitud'!H33,"AAAAAG+rnpA=")</f>
        <v>#VALUE!</v>
      </c>
      <c r="EP3" t="e">
        <f>AND('Formato Solicitud'!I33,"AAAAAG+rnpE=")</f>
        <v>#VALUE!</v>
      </c>
      <c r="EQ3" t="e">
        <f>AND('Formato Solicitud'!#REF!,"AAAAAG+rnpI=")</f>
        <v>#REF!</v>
      </c>
      <c r="ER3" t="e">
        <f>AND('Formato Solicitud'!K33,"AAAAAG+rnpM=")</f>
        <v>#VALUE!</v>
      </c>
      <c r="ES3" t="e">
        <f>AND('Formato Solicitud'!J33,"AAAAAG+rnpQ=")</f>
        <v>#VALUE!</v>
      </c>
      <c r="ET3" t="e">
        <f>AND('Formato Solicitud'!M33,"AAAAAG+rnpU=")</f>
        <v>#VALUE!</v>
      </c>
      <c r="EU3" t="e">
        <f>AND('Formato Solicitud'!N33,"AAAAAG+rnpY=")</f>
        <v>#VALUE!</v>
      </c>
      <c r="EV3" t="e">
        <f>AND('Formato Solicitud'!O33,"AAAAAG+rnpc=")</f>
        <v>#VALUE!</v>
      </c>
      <c r="EW3" t="e">
        <f>AND('Formato Solicitud'!P33,"AAAAAG+rnpg=")</f>
        <v>#VALUE!</v>
      </c>
      <c r="EX3" t="e">
        <f>AND('Formato Solicitud'!Q33,"AAAAAG+rnpk=")</f>
        <v>#VALUE!</v>
      </c>
      <c r="EY3" t="e">
        <f>IF('Formato Solicitud'!#REF!,"AAAAAG+rnpo=",0)</f>
        <v>#REF!</v>
      </c>
      <c r="EZ3" t="e">
        <f>AND('Formato Solicitud'!#REF!,"AAAAAG+rnps=")</f>
        <v>#REF!</v>
      </c>
      <c r="FA3" t="e">
        <f>AND('Formato Solicitud'!#REF!,"AAAAAG+rnpw=")</f>
        <v>#REF!</v>
      </c>
      <c r="FB3" t="e">
        <f>AND('Formato Solicitud'!#REF!,"AAAAAG+rnp0=")</f>
        <v>#REF!</v>
      </c>
      <c r="FC3" t="e">
        <f>AND('Formato Solicitud'!#REF!,"AAAAAG+rnp4=")</f>
        <v>#REF!</v>
      </c>
      <c r="FD3" t="e">
        <f>AND('Formato Solicitud'!#REF!,"AAAAAG+rnp8=")</f>
        <v>#REF!</v>
      </c>
      <c r="FE3" t="e">
        <f>AND('Formato Solicitud'!#REF!,"AAAAAG+rnqA=")</f>
        <v>#REF!</v>
      </c>
      <c r="FF3" t="e">
        <f>AND('Formato Solicitud'!#REF!,"AAAAAG+rnqE=")</f>
        <v>#REF!</v>
      </c>
      <c r="FG3" t="e">
        <f>AND('Formato Solicitud'!#REF!,"AAAAAG+rnqI=")</f>
        <v>#REF!</v>
      </c>
      <c r="FH3" t="e">
        <f>AND('Formato Solicitud'!#REF!,"AAAAAG+rnqM=")</f>
        <v>#REF!</v>
      </c>
      <c r="FI3" t="e">
        <f>AND('Formato Solicitud'!#REF!,"AAAAAG+rnqQ=")</f>
        <v>#REF!</v>
      </c>
      <c r="FJ3" t="e">
        <f>AND('Formato Solicitud'!#REF!,"AAAAAG+rnqU=")</f>
        <v>#REF!</v>
      </c>
      <c r="FK3" t="e">
        <f>AND('Formato Solicitud'!#REF!,"AAAAAG+rnqY=")</f>
        <v>#REF!</v>
      </c>
      <c r="FL3" t="e">
        <f>AND('Formato Solicitud'!#REF!,"AAAAAG+rnqc=")</f>
        <v>#REF!</v>
      </c>
      <c r="FM3" t="e">
        <f>AND('Formato Solicitud'!#REF!,"AAAAAG+rnqg=")</f>
        <v>#REF!</v>
      </c>
      <c r="FN3" t="e">
        <f>AND('Formato Solicitud'!#REF!,"AAAAAG+rnqk=")</f>
        <v>#REF!</v>
      </c>
      <c r="FO3" t="e">
        <f>AND('Formato Solicitud'!#REF!,"AAAAAG+rnqo=")</f>
        <v>#REF!</v>
      </c>
      <c r="FP3" t="e">
        <f>AND('Formato Solicitud'!#REF!,"AAAAAG+rnqs=")</f>
        <v>#REF!</v>
      </c>
      <c r="FQ3">
        <f>IF('Formato Solicitud'!36:36,"AAAAAG+rnqw=",0)</f>
        <v>0</v>
      </c>
      <c r="FR3" t="e">
        <f>AND('Formato Solicitud'!A36,"AAAAAG+rnq0=")</f>
        <v>#VALUE!</v>
      </c>
      <c r="FS3" t="e">
        <f>AND('Formato Solicitud'!B36,"AAAAAG+rnq4=")</f>
        <v>#VALUE!</v>
      </c>
      <c r="FT3" t="e">
        <f>AND('Formato Solicitud'!C36,"AAAAAG+rnq8=")</f>
        <v>#VALUE!</v>
      </c>
      <c r="FU3" t="e">
        <f>AND('Formato Solicitud'!D36,"AAAAAG+rnrA=")</f>
        <v>#VALUE!</v>
      </c>
      <c r="FV3" t="e">
        <f>AND('Formato Solicitud'!E36,"AAAAAG+rnrE=")</f>
        <v>#VALUE!</v>
      </c>
      <c r="FW3" t="e">
        <f>AND('Formato Solicitud'!F36,"AAAAAG+rnrI=")</f>
        <v>#VALUE!</v>
      </c>
      <c r="FX3" t="e">
        <f>AND('Formato Solicitud'!G36,"AAAAAG+rnrM=")</f>
        <v>#VALUE!</v>
      </c>
      <c r="FY3" t="e">
        <f>AND('Formato Solicitud'!H36,"AAAAAG+rnrQ=")</f>
        <v>#VALUE!</v>
      </c>
      <c r="FZ3" t="e">
        <f>AND('Formato Solicitud'!I36,"AAAAAG+rnrU=")</f>
        <v>#VALUE!</v>
      </c>
      <c r="GA3" t="e">
        <f>AND('Formato Solicitud'!J36,"AAAAAG+rnrY=")</f>
        <v>#VALUE!</v>
      </c>
      <c r="GB3" t="e">
        <f>AND('Formato Solicitud'!K36,"AAAAAG+rnrc=")</f>
        <v>#VALUE!</v>
      </c>
      <c r="GC3" t="e">
        <f>AND('Formato Solicitud'!L36,"AAAAAG+rnrg=")</f>
        <v>#VALUE!</v>
      </c>
      <c r="GD3" t="e">
        <f>AND('Formato Solicitud'!M36,"AAAAAG+rnrk=")</f>
        <v>#VALUE!</v>
      </c>
      <c r="GE3" t="e">
        <f>AND('Formato Solicitud'!N36,"AAAAAG+rnro=")</f>
        <v>#VALUE!</v>
      </c>
      <c r="GF3" t="e">
        <f>AND('Formato Solicitud'!O36,"AAAAAG+rnrs=")</f>
        <v>#VALUE!</v>
      </c>
      <c r="GG3" t="e">
        <f>AND('Formato Solicitud'!P36,"AAAAAG+rnrw=")</f>
        <v>#VALUE!</v>
      </c>
      <c r="GH3" t="e">
        <f>AND('Formato Solicitud'!Q36,"AAAAAG+rnr0=")</f>
        <v>#VALUE!</v>
      </c>
      <c r="GI3" t="e">
        <f>IF('Formato Solicitud'!#REF!,"AAAAAG+rnr4=",0)</f>
        <v>#REF!</v>
      </c>
      <c r="GJ3" t="e">
        <f>AND('Formato Solicitud'!#REF!,"AAAAAG+rnr8=")</f>
        <v>#REF!</v>
      </c>
      <c r="GK3" t="e">
        <f>AND('Formato Solicitud'!#REF!,"AAAAAG+rnsA=")</f>
        <v>#REF!</v>
      </c>
      <c r="GL3" t="e">
        <f>AND('Formato Solicitud'!#REF!,"AAAAAG+rnsE=")</f>
        <v>#REF!</v>
      </c>
      <c r="GM3" t="e">
        <f>AND('Formato Solicitud'!#REF!,"AAAAAG+rnsI=")</f>
        <v>#REF!</v>
      </c>
      <c r="GN3" t="e">
        <f>AND('Formato Solicitud'!#REF!,"AAAAAG+rnsM=")</f>
        <v>#REF!</v>
      </c>
      <c r="GO3" t="e">
        <f>AND('Formato Solicitud'!#REF!,"AAAAAG+rnsQ=")</f>
        <v>#REF!</v>
      </c>
      <c r="GP3" t="e">
        <f>AND('Formato Solicitud'!#REF!,"AAAAAG+rnsU=")</f>
        <v>#REF!</v>
      </c>
      <c r="GQ3" t="e">
        <f>AND('Formato Solicitud'!#REF!,"AAAAAG+rnsY=")</f>
        <v>#REF!</v>
      </c>
      <c r="GR3" t="e">
        <f>AND('Formato Solicitud'!#REF!,"AAAAAG+rnsc=")</f>
        <v>#REF!</v>
      </c>
      <c r="GS3" t="e">
        <f>AND('Formato Solicitud'!#REF!,"AAAAAG+rnsg=")</f>
        <v>#REF!</v>
      </c>
      <c r="GT3" t="e">
        <f>AND('Formato Solicitud'!#REF!,"AAAAAG+rnsk=")</f>
        <v>#REF!</v>
      </c>
      <c r="GU3" t="e">
        <f>AND('Formato Solicitud'!#REF!,"AAAAAG+rnso=")</f>
        <v>#REF!</v>
      </c>
      <c r="GV3" t="e">
        <f>AND('Formato Solicitud'!#REF!,"AAAAAG+rnss=")</f>
        <v>#REF!</v>
      </c>
      <c r="GW3" t="e">
        <f>AND('Formato Solicitud'!#REF!,"AAAAAG+rnsw=")</f>
        <v>#REF!</v>
      </c>
      <c r="GX3" t="e">
        <f>AND('Formato Solicitud'!#REF!,"AAAAAG+rns0=")</f>
        <v>#REF!</v>
      </c>
      <c r="GY3" t="e">
        <f>AND('Formato Solicitud'!#REF!,"AAAAAG+rns4=")</f>
        <v>#REF!</v>
      </c>
      <c r="GZ3" t="e">
        <f>AND('Formato Solicitud'!#REF!,"AAAAAG+rns8=")</f>
        <v>#REF!</v>
      </c>
      <c r="HA3">
        <f>IF('Formato Solicitud'!37:37,"AAAAAG+rntA=",0)</f>
        <v>0</v>
      </c>
      <c r="HB3" t="e">
        <f>AND('Formato Solicitud'!A37,"AAAAAG+rntE=")</f>
        <v>#VALUE!</v>
      </c>
      <c r="HC3" t="e">
        <f>AND('Formato Solicitud'!B37,"AAAAAG+rntI=")</f>
        <v>#VALUE!</v>
      </c>
      <c r="HD3" t="e">
        <f>AND('Formato Solicitud'!C37,"AAAAAG+rntM=")</f>
        <v>#VALUE!</v>
      </c>
      <c r="HE3" t="e">
        <f>AND('Formato Solicitud'!D37,"AAAAAG+rntQ=")</f>
        <v>#VALUE!</v>
      </c>
      <c r="HF3" t="e">
        <f>AND('Formato Solicitud'!E37,"AAAAAG+rntU=")</f>
        <v>#VALUE!</v>
      </c>
      <c r="HG3" t="e">
        <f>AND('Formato Solicitud'!F37,"AAAAAG+rntY=")</f>
        <v>#VALUE!</v>
      </c>
      <c r="HH3" t="e">
        <f>AND('Formato Solicitud'!G37,"AAAAAG+rntc=")</f>
        <v>#VALUE!</v>
      </c>
      <c r="HI3" t="e">
        <f>AND('Formato Solicitud'!H37,"AAAAAG+rntg=")</f>
        <v>#VALUE!</v>
      </c>
      <c r="HJ3" t="e">
        <f>AND('Formato Solicitud'!I37,"AAAAAG+rntk=")</f>
        <v>#VALUE!</v>
      </c>
      <c r="HK3" t="e">
        <f>AND('Formato Solicitud'!J37,"AAAAAG+rnto=")</f>
        <v>#VALUE!</v>
      </c>
      <c r="HL3" t="e">
        <f>AND('Formato Solicitud'!K37,"AAAAAG+rnts=")</f>
        <v>#VALUE!</v>
      </c>
      <c r="HM3" t="e">
        <f>AND('Formato Solicitud'!L37,"AAAAAG+rntw=")</f>
        <v>#VALUE!</v>
      </c>
      <c r="HN3" t="e">
        <f>AND('Formato Solicitud'!M37,"AAAAAG+rnt0=")</f>
        <v>#VALUE!</v>
      </c>
      <c r="HO3" t="e">
        <f>AND('Formato Solicitud'!N37,"AAAAAG+rnt4=")</f>
        <v>#VALUE!</v>
      </c>
      <c r="HP3" t="e">
        <f>AND('Formato Solicitud'!O37,"AAAAAG+rnt8=")</f>
        <v>#VALUE!</v>
      </c>
      <c r="HQ3" t="e">
        <f>AND('Formato Solicitud'!P37,"AAAAAG+rnuA=")</f>
        <v>#VALUE!</v>
      </c>
      <c r="HR3" t="e">
        <f>AND('Formato Solicitud'!Q37,"AAAAAG+rnuE=")</f>
        <v>#VALUE!</v>
      </c>
      <c r="HS3">
        <f>IF('Formato Solicitud'!A:A,"AAAAAG+rnuI=",0)</f>
        <v>0</v>
      </c>
      <c r="HT3">
        <f>IF('Formato Solicitud'!B:B,"AAAAAG+rnuM=",0)</f>
        <v>0</v>
      </c>
      <c r="HU3">
        <f>IF('Formato Solicitud'!C:C,"AAAAAG+rnuQ=",0)</f>
        <v>0</v>
      </c>
      <c r="HV3">
        <f>IF('Formato Solicitud'!D:D,"AAAAAG+rnuU=",0)</f>
        <v>0</v>
      </c>
      <c r="HW3">
        <f>IF('Formato Solicitud'!E:E,"AAAAAG+rnuY=",0)</f>
        <v>0</v>
      </c>
      <c r="HX3">
        <f>IF('Formato Solicitud'!F:F,"AAAAAG+rnuc=",0)</f>
        <v>0</v>
      </c>
      <c r="HY3">
        <f>IF('Formato Solicitud'!G:G,"AAAAAG+rnug=",0)</f>
        <v>0</v>
      </c>
      <c r="HZ3">
        <f>IF('Formato Solicitud'!H:H,"AAAAAG+rnuk=",0)</f>
        <v>0</v>
      </c>
      <c r="IA3">
        <f>IF('Formato Solicitud'!I:I,"AAAAAG+rnuo=",0)</f>
        <v>0</v>
      </c>
      <c r="IB3">
        <f>IF('Formato Solicitud'!J:J,"AAAAAG+rnus=",0)</f>
        <v>0</v>
      </c>
      <c r="IC3">
        <f>IF('Formato Solicitud'!K:K,"AAAAAG+rnuw=",0)</f>
        <v>0</v>
      </c>
      <c r="ID3">
        <f>IF('Formato Solicitud'!L:L,"AAAAAG+rnu0=",0)</f>
        <v>0</v>
      </c>
      <c r="IE3">
        <f>IF('Formato Solicitud'!M:M,"AAAAAG+rnu4=",0)</f>
        <v>0</v>
      </c>
      <c r="IF3">
        <f>IF('Formato Solicitud'!N:N,"AAAAAG+rnu8=",0)</f>
        <v>0</v>
      </c>
      <c r="IG3">
        <f>IF('Formato Solicitud'!O:O,"AAAAAG+rnvA=",0)</f>
        <v>0</v>
      </c>
      <c r="IH3">
        <f>IF('Formato Solicitud'!P:P,"AAAAAG+rnvE=",0)</f>
        <v>0</v>
      </c>
      <c r="II3">
        <f>IF('Formato Solicitud'!Q:Q,"AAAAAG+rnvI=",0)</f>
        <v>0</v>
      </c>
      <c r="IJ3" t="s">
        <v>24</v>
      </c>
      <c r="IK3" s="1" t="s">
        <v>25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HP</dc:creator>
  <cp:keywords/>
  <dc:description/>
  <cp:lastModifiedBy>Juan Jose Durango Lopez</cp:lastModifiedBy>
  <cp:lastPrinted>2017-08-17T16:43:18Z</cp:lastPrinted>
  <dcterms:created xsi:type="dcterms:W3CDTF">2007-04-18T20:13:27Z</dcterms:created>
  <dcterms:modified xsi:type="dcterms:W3CDTF">2022-05-13T15:29:49Z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1mNYUb98X-nvRQnSh8QCwjmTLGYwOk54IeEd6yhVYhFo</vt:lpwstr>
  </property>
  <property fmtid="{D5CDD505-2E9C-101B-9397-08002B2CF9AE}" pid="4" name="Google.Documents.RevisionId">
    <vt:lpwstr>14001842323924531522</vt:lpwstr>
  </property>
  <property fmtid="{D5CDD505-2E9C-101B-9397-08002B2CF9AE}" pid="5" name="Google.Documents.PreviousRevisionId">
    <vt:lpwstr>08535802532745523682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