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2915" windowHeight="7560" activeTab="0"/>
  </bookViews>
  <sheets>
    <sheet name="Hoja1" sheetId="1" r:id="rId1"/>
    <sheet name="Hoja2" sheetId="2" r:id="rId2"/>
    <sheet name="Hoja3" sheetId="3" r:id="rId3"/>
    <sheet name="DV-IDENTITY-0" sheetId="4" state="veryHidden" r:id="rId4"/>
  </sheets>
  <definedNames>
    <definedName name="_xlnm.Print_Area" localSheetId="0">'Hoja1'!$A$1:$T$36</definedName>
    <definedName name="Doctorado">'Hoja1'!$X$36</definedName>
    <definedName name="Especializacion">'Hoja1'!$X$34</definedName>
    <definedName name="Maestria">'Hoja1'!$X$35</definedName>
    <definedName name="Pregrado">'Hoja1'!$X$33</definedName>
  </definedNames>
  <calcPr fullCalcOnLoad="1"/>
</workbook>
</file>

<file path=xl/comments1.xml><?xml version="1.0" encoding="utf-8"?>
<comments xmlns="http://schemas.openxmlformats.org/spreadsheetml/2006/main">
  <authors>
    <author>Martha Luzmila Hoyos Nader</author>
    <author>marthahoyos</author>
    <author>Postgrado</author>
  </authors>
  <commentList>
    <comment ref="M10" authorId="0">
      <text>
        <r>
          <rPr>
            <sz val="8"/>
            <rFont val="Tahoma"/>
            <family val="2"/>
          </rPr>
          <t xml:space="preserve">Ingresar el valor de la horas de servicio academico según el acuerdo No 066 de 12 de noviembre de 2003:
</t>
        </r>
        <r>
          <rPr>
            <sz val="8"/>
            <rFont val="Tahoma"/>
            <family val="2"/>
          </rPr>
          <t>Doctorado:14%smmlv, Magister: 12% smmlv, especialista: 10%smmlv y profesional:8% smmlv</t>
        </r>
      </text>
    </comment>
    <comment ref="K10" authorId="0">
      <text>
        <r>
          <rPr>
            <b/>
            <sz val="8"/>
            <rFont val="Tahoma"/>
            <family val="2"/>
          </rPr>
          <t xml:space="preserve">Horario: </t>
        </r>
        <r>
          <rPr>
            <sz val="8"/>
            <rFont val="Tahoma"/>
            <family val="2"/>
          </rPr>
          <t>en las cuales se desarrollaran la actividad 
Ejemplo:
Viernes 4-9 PM
Sabados 8-1 PM</t>
        </r>
      </text>
    </comment>
    <comment ref="P10" authorId="1">
      <text>
        <r>
          <rPr>
            <sz val="8"/>
            <rFont val="Tahoma"/>
            <family val="2"/>
          </rPr>
          <t>Información Bancaria: N° de Cuenta del Docente, especificar tipo de cuenta (ahorro, corriente) y banco</t>
        </r>
      </text>
    </comment>
    <comment ref="N10" authorId="1">
      <text>
        <r>
          <rPr>
            <sz val="8"/>
            <rFont val="Tahoma"/>
            <family val="2"/>
          </rPr>
          <t xml:space="preserve">Multiplicar No de horas por Valor a pagar           
</t>
        </r>
      </text>
    </comment>
    <comment ref="E10" authorId="0">
      <text>
        <r>
          <rPr>
            <sz val="8"/>
            <rFont val="Tahoma"/>
            <family val="2"/>
          </rPr>
          <t xml:space="preserve">Ingrese el nombre del </t>
        </r>
        <r>
          <rPr>
            <b/>
            <sz val="8"/>
            <rFont val="Tahoma"/>
            <family val="2"/>
          </rPr>
          <t xml:space="preserve">modulo </t>
        </r>
        <r>
          <rPr>
            <sz val="8"/>
            <rFont val="Tahoma"/>
            <family val="2"/>
          </rPr>
          <t xml:space="preserve">que desarrollará el docente
</t>
        </r>
      </text>
    </comment>
    <comment ref="J10" authorId="2">
      <text>
        <r>
          <rPr>
            <b/>
            <sz val="9"/>
            <rFont val="Tahoma"/>
            <family val="2"/>
          </rPr>
          <t xml:space="preserve">Fechas: </t>
        </r>
        <r>
          <rPr>
            <sz val="9"/>
            <rFont val="Tahoma"/>
            <family val="2"/>
          </rPr>
          <t xml:space="preserve">en las cuales se desarrollara el modulo.
</t>
        </r>
        <r>
          <rPr>
            <b/>
            <sz val="9"/>
            <rFont val="Tahoma"/>
            <family val="2"/>
          </rPr>
          <t xml:space="preserve">Favor tener en cuenta en el calendario los días festivos </t>
        </r>
      </text>
    </comment>
    <comment ref="G10" authorId="0">
      <text>
        <r>
          <rPr>
            <b/>
            <sz val="8"/>
            <rFont val="Tahoma"/>
            <family val="2"/>
          </rPr>
          <t xml:space="preserve">Recursos Requeridos para el desarrollo del modulo tales como: </t>
        </r>
        <r>
          <rPr>
            <sz val="8"/>
            <rFont val="Tahoma"/>
            <family val="2"/>
          </rPr>
          <t>Video Beam, Computador, marcadores, sala de computo, Fotocopias, entre otros.</t>
        </r>
        <r>
          <rPr>
            <b/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sz val="8"/>
            <rFont val="Tahoma"/>
            <family val="2"/>
          </rPr>
          <t xml:space="preserve">Ingrese el tipo de transporte Aereo o terrestre, 
</t>
        </r>
        <r>
          <rPr>
            <b/>
            <sz val="8"/>
            <rFont val="Tahoma"/>
            <family val="2"/>
          </rPr>
          <t>SOLO APLICA A DOCENTES FUERA DE LA CIUDAD</t>
        </r>
      </text>
    </comment>
    <comment ref="I10" authorId="0">
      <text>
        <r>
          <rPr>
            <sz val="8"/>
            <rFont val="Tahoma"/>
            <family val="2"/>
          </rPr>
          <t>Ingrese la ruta de viaje. Ejemplo:
Bogota-Monteria-Bogota</t>
        </r>
      </text>
    </comment>
  </commentList>
</comments>
</file>

<file path=xl/sharedStrings.xml><?xml version="1.0" encoding="utf-8"?>
<sst xmlns="http://schemas.openxmlformats.org/spreadsheetml/2006/main" count="131" uniqueCount="83">
  <si>
    <t>N°</t>
  </si>
  <si>
    <t>INFORMACIÓN DEL DOCENTE</t>
  </si>
  <si>
    <t>FECHAS</t>
  </si>
  <si>
    <t>RECURSOS</t>
  </si>
  <si>
    <t>No. Cuenta</t>
  </si>
  <si>
    <t>UNIVERSIDAD DE CÓRDOBA</t>
  </si>
  <si>
    <t>ACTIVIDADES A DESARROLLAR</t>
  </si>
  <si>
    <t>TRANSPORTE</t>
  </si>
  <si>
    <t>RUTA</t>
  </si>
  <si>
    <t>Tipo Vinculación</t>
  </si>
  <si>
    <t>AAAAAF752m8=</t>
  </si>
  <si>
    <t>AAAAAF752nA=</t>
  </si>
  <si>
    <t>AAAAAF752nE=</t>
  </si>
  <si>
    <t>AAAAAF752nI=</t>
  </si>
  <si>
    <t>AAAAAHR9nQA=</t>
  </si>
  <si>
    <t>AAAAAHR9nQE=</t>
  </si>
  <si>
    <t>AAAAAHfX/AA=</t>
  </si>
  <si>
    <t>AAAAAHfX/AE=</t>
  </si>
  <si>
    <t>SALARIO MINIMO MENSUAL 
LEGAL VIGENTE(SMMLV)</t>
  </si>
  <si>
    <t>Maestria</t>
  </si>
  <si>
    <t>Especializacion</t>
  </si>
  <si>
    <t>Diplomado</t>
  </si>
  <si>
    <t>Curso</t>
  </si>
  <si>
    <t>Doctorado.</t>
  </si>
  <si>
    <t>Doctorado..</t>
  </si>
  <si>
    <t>Doctorado…</t>
  </si>
  <si>
    <t>Doctorado….</t>
  </si>
  <si>
    <t>Maestria.</t>
  </si>
  <si>
    <t>Maestria..</t>
  </si>
  <si>
    <t>Maestria…</t>
  </si>
  <si>
    <t>Maestria….</t>
  </si>
  <si>
    <t>Especializacion.</t>
  </si>
  <si>
    <t>Especializacion..</t>
  </si>
  <si>
    <t>Especializacion…</t>
  </si>
  <si>
    <t>Especializacion….</t>
  </si>
  <si>
    <t>Pregrado.</t>
  </si>
  <si>
    <t>Pregrado..</t>
  </si>
  <si>
    <t>Pregrado…</t>
  </si>
  <si>
    <t>Pregrado….</t>
  </si>
  <si>
    <t>Nivel Academico</t>
  </si>
  <si>
    <t>Nombre Docente</t>
  </si>
  <si>
    <t>C.C. No</t>
  </si>
  <si>
    <t>Cel. Y Tel</t>
  </si>
  <si>
    <t>E-mail</t>
  </si>
  <si>
    <t>Dirección</t>
  </si>
  <si>
    <t>PROGRAMACIÓN DE ACTIVIDADES DE EDUCACIÓN CONTINUADA</t>
  </si>
  <si>
    <t>TIPO DE ACTIVIDAD</t>
  </si>
  <si>
    <t>NOMBRE DE LA ACTIVIDAD</t>
  </si>
  <si>
    <t>COORDINADOR RESPONSABLE</t>
  </si>
  <si>
    <t>CORREO ELECTRONICO</t>
  </si>
  <si>
    <t>DEPENDENCIA RESPONSABLE</t>
  </si>
  <si>
    <t>HORAS POR SESIÓN</t>
  </si>
  <si>
    <t>TELEFONO DE CONTACTO</t>
  </si>
  <si>
    <t>DURACIÓN (EN HORAS)</t>
  </si>
  <si>
    <t>Banco</t>
  </si>
  <si>
    <t>Tipo de Cuenta</t>
  </si>
  <si>
    <t>NÚMERO DE SESIONES</t>
  </si>
  <si>
    <t>COORDINADOR DEL PROGRAMA</t>
  </si>
  <si>
    <t>Vo.Bo. JEFE DE DEPARTAMENTO</t>
  </si>
  <si>
    <t>Vo.Bo. DECANO DE FACULTAD</t>
  </si>
  <si>
    <t>NOMBRE</t>
  </si>
  <si>
    <t>FIRMA</t>
  </si>
  <si>
    <t>FECHA</t>
  </si>
  <si>
    <t>HORARIO</t>
  </si>
  <si>
    <t>No DE HORAS</t>
  </si>
  <si>
    <t>VALOR HORA</t>
  </si>
  <si>
    <t>TOTAL A PAGAR</t>
  </si>
  <si>
    <t>INFORMACIÓN BANCARIA</t>
  </si>
  <si>
    <t>Seminario</t>
  </si>
  <si>
    <t>Simposio</t>
  </si>
  <si>
    <t>Congreso</t>
  </si>
  <si>
    <t>Conferencia</t>
  </si>
  <si>
    <t>Doctorado</t>
  </si>
  <si>
    <t>Pregrado</t>
  </si>
  <si>
    <t>Ocasional</t>
  </si>
  <si>
    <t>Catedratico</t>
  </si>
  <si>
    <t>Planta</t>
  </si>
  <si>
    <t>Externo</t>
  </si>
  <si>
    <t>Aereo</t>
  </si>
  <si>
    <t>Terrestre</t>
  </si>
  <si>
    <t>FECHA DE INICIO</t>
  </si>
  <si>
    <t xml:space="preserve">FECHA DE FINALIZACIÓN </t>
  </si>
  <si>
    <r>
      <t xml:space="preserve">CÓDIGO:
</t>
    </r>
    <r>
      <rPr>
        <sz val="9"/>
        <rFont val="Benguiat Bk BT"/>
        <family val="1"/>
      </rPr>
      <t xml:space="preserve">FEXT-046
</t>
    </r>
    <r>
      <rPr>
        <b/>
        <sz val="9"/>
        <rFont val="Benguiat Bk BT"/>
        <family val="1"/>
      </rPr>
      <t>VERSIÓN:</t>
    </r>
    <r>
      <rPr>
        <sz val="9"/>
        <rFont val="Benguiat Bk BT"/>
        <family val="1"/>
      </rPr>
      <t xml:space="preserve"> 01
</t>
    </r>
    <r>
      <rPr>
        <b/>
        <sz val="9"/>
        <rFont val="Benguiat Bk BT"/>
        <family val="1"/>
      </rPr>
      <t xml:space="preserve">EMISIÓN: </t>
    </r>
    <r>
      <rPr>
        <sz val="9"/>
        <rFont val="Benguiat Bk BT"/>
        <family val="1"/>
      </rPr>
      <t>02/11</t>
    </r>
    <r>
      <rPr>
        <sz val="9"/>
        <rFont val="Benguiat Bk BT"/>
        <family val="1"/>
      </rPr>
      <t xml:space="preserve">/2018
</t>
    </r>
    <r>
      <rPr>
        <b/>
        <sz val="9"/>
        <rFont val="Benguiat Bk BT"/>
        <family val="1"/>
      </rPr>
      <t xml:space="preserve">PÁGINA
  </t>
    </r>
    <r>
      <rPr>
        <sz val="9"/>
        <rFont val="Benguiat Bk BT"/>
        <family val="1"/>
      </rPr>
      <t xml:space="preserve">1 </t>
    </r>
    <r>
      <rPr>
        <b/>
        <sz val="9"/>
        <rFont val="Benguiat Bk BT"/>
        <family val="1"/>
      </rPr>
      <t>DE</t>
    </r>
    <r>
      <rPr>
        <sz val="9"/>
        <rFont val="Benguiat Bk BT"/>
        <family val="1"/>
      </rPr>
      <t xml:space="preserve"> 1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</si>
</sst>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.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Verdana"/>
      <family val="2"/>
    </font>
    <font>
      <b/>
      <sz val="14"/>
      <name val="Benguiat Bk BT"/>
      <family val="1"/>
    </font>
    <font>
      <b/>
      <sz val="9"/>
      <name val="Benguiat Bk BT"/>
      <family val="1"/>
    </font>
    <font>
      <sz val="9"/>
      <name val="Benguiat Bk BT"/>
      <family val="1"/>
    </font>
    <font>
      <b/>
      <sz val="12"/>
      <name val="Benguiat Bk BT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indexed="8"/>
      <name val="Arial"/>
      <family val="2"/>
    </font>
    <font>
      <b/>
      <sz val="9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ahoma"/>
      <family val="2"/>
    </font>
    <font>
      <sz val="11"/>
      <color theme="1"/>
      <name val="Arial"/>
      <family val="2"/>
    </font>
    <font>
      <b/>
      <sz val="9"/>
      <color theme="1"/>
      <name val="Tahoma"/>
      <family val="2"/>
    </font>
    <font>
      <b/>
      <sz val="10"/>
      <color theme="1"/>
      <name val="Tahoma"/>
      <family val="2"/>
    </font>
    <font>
      <u val="single"/>
      <sz val="10"/>
      <color theme="10"/>
      <name val="Tahoma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C0C0C0"/>
      </right>
      <top style="medium">
        <color rgb="FFC0C0C0"/>
      </top>
      <bottom style="medium">
        <color rgb="FFC0C0C0"/>
      </bottom>
    </border>
    <border>
      <left style="medium">
        <color rgb="FFC0C0C0"/>
      </left>
      <right>
        <color indexed="63"/>
      </right>
      <top style="medium">
        <color rgb="FFC0C0C0"/>
      </top>
      <bottom style="medium">
        <color rgb="FFC0C0C0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92">
    <xf numFmtId="0" fontId="0" fillId="0" borderId="0" xfId="0" applyFont="1" applyAlignment="1">
      <alignment/>
    </xf>
    <xf numFmtId="0" fontId="6" fillId="0" borderId="0" xfId="52">
      <alignment/>
      <protection/>
    </xf>
    <xf numFmtId="0" fontId="54" fillId="0" borderId="0" xfId="0" applyFont="1" applyAlignment="1" applyProtection="1">
      <alignment vertical="center" wrapText="1"/>
      <protection locked="0"/>
    </xf>
    <xf numFmtId="0" fontId="54" fillId="33" borderId="0" xfId="0" applyFont="1" applyFill="1" applyAlignment="1" applyProtection="1">
      <alignment vertical="center" wrapText="1"/>
      <protection locked="0"/>
    </xf>
    <xf numFmtId="0" fontId="54" fillId="0" borderId="10" xfId="0" applyFont="1" applyBorder="1" applyAlignment="1" applyProtection="1">
      <alignment vertical="center" wrapText="1"/>
      <protection locked="0"/>
    </xf>
    <xf numFmtId="0" fontId="54" fillId="0" borderId="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0" xfId="0" applyAlignment="1" applyProtection="1">
      <alignment/>
      <protection locked="0"/>
    </xf>
    <xf numFmtId="0" fontId="54" fillId="33" borderId="1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/>
    </xf>
    <xf numFmtId="0" fontId="55" fillId="0" borderId="11" xfId="0" applyFont="1" applyFill="1" applyBorder="1" applyAlignment="1" applyProtection="1">
      <alignment vertical="center" wrapText="1"/>
      <protection/>
    </xf>
    <xf numFmtId="0" fontId="55" fillId="0" borderId="12" xfId="0" applyFont="1" applyFill="1" applyBorder="1" applyAlignment="1" applyProtection="1">
      <alignment vertical="center" wrapText="1"/>
      <protection/>
    </xf>
    <xf numFmtId="0" fontId="56" fillId="34" borderId="10" xfId="0" applyFont="1" applyFill="1" applyBorder="1" applyAlignment="1" applyProtection="1">
      <alignment horizontal="center" vertical="center" wrapText="1"/>
      <protection/>
    </xf>
    <xf numFmtId="0" fontId="57" fillId="34" borderId="10" xfId="0" applyFont="1" applyFill="1" applyBorder="1" applyAlignment="1" applyProtection="1">
      <alignment horizontal="center" vertical="center" wrapText="1"/>
      <protection/>
    </xf>
    <xf numFmtId="0" fontId="57" fillId="34" borderId="13" xfId="0" applyFont="1" applyFill="1" applyBorder="1" applyAlignment="1" applyProtection="1">
      <alignment horizontal="center" vertical="center" wrapText="1"/>
      <protection/>
    </xf>
    <xf numFmtId="0" fontId="54" fillId="34" borderId="10" xfId="0" applyFont="1" applyFill="1" applyBorder="1" applyAlignment="1" applyProtection="1">
      <alignment vertical="center" wrapText="1"/>
      <protection/>
    </xf>
    <xf numFmtId="0" fontId="54" fillId="0" borderId="10" xfId="0" applyFont="1" applyBorder="1" applyAlignment="1" applyProtection="1">
      <alignment horizontal="center" vertical="center" wrapText="1"/>
      <protection locked="0"/>
    </xf>
    <xf numFmtId="0" fontId="54" fillId="0" borderId="14" xfId="0" applyFont="1" applyBorder="1" applyAlignment="1" applyProtection="1">
      <alignment horizontal="center" vertical="center" wrapText="1"/>
      <protection locked="0"/>
    </xf>
    <xf numFmtId="0" fontId="54" fillId="0" borderId="15" xfId="0" applyFont="1" applyBorder="1" applyAlignment="1" applyProtection="1">
      <alignment horizontal="center" vertical="center" wrapText="1"/>
      <protection locked="0"/>
    </xf>
    <xf numFmtId="0" fontId="54" fillId="0" borderId="13" xfId="0" applyFont="1" applyBorder="1" applyAlignment="1" applyProtection="1">
      <alignment horizontal="center" vertical="center" wrapText="1"/>
      <protection locked="0"/>
    </xf>
    <xf numFmtId="0" fontId="57" fillId="34" borderId="10" xfId="0" applyFont="1" applyFill="1" applyBorder="1" applyAlignment="1" applyProtection="1">
      <alignment horizontal="center" vertical="center" wrapText="1"/>
      <protection/>
    </xf>
    <xf numFmtId="0" fontId="54" fillId="33" borderId="16" xfId="0" applyFont="1" applyFill="1" applyBorder="1" applyAlignment="1" applyProtection="1">
      <alignment horizontal="center" vertical="center" wrapText="1"/>
      <protection locked="0"/>
    </xf>
    <xf numFmtId="0" fontId="54" fillId="33" borderId="17" xfId="0" applyFont="1" applyFill="1" applyBorder="1" applyAlignment="1" applyProtection="1">
      <alignment horizontal="center" vertical="center" wrapText="1"/>
      <protection locked="0"/>
    </xf>
    <xf numFmtId="0" fontId="54" fillId="33" borderId="18" xfId="0" applyFont="1" applyFill="1" applyBorder="1" applyAlignment="1" applyProtection="1">
      <alignment horizontal="center" vertical="center" wrapText="1"/>
      <protection locked="0"/>
    </xf>
    <xf numFmtId="0" fontId="54" fillId="33" borderId="14" xfId="0" applyFont="1" applyFill="1" applyBorder="1" applyAlignment="1" applyProtection="1">
      <alignment horizontal="center" vertical="center" wrapText="1"/>
      <protection locked="0"/>
    </xf>
    <xf numFmtId="0" fontId="54" fillId="33" borderId="13" xfId="0" applyFont="1" applyFill="1" applyBorder="1" applyAlignment="1" applyProtection="1">
      <alignment horizontal="center" vertical="center" wrapText="1"/>
      <protection locked="0"/>
    </xf>
    <xf numFmtId="0" fontId="54" fillId="33" borderId="19" xfId="0" applyFont="1" applyFill="1" applyBorder="1" applyAlignment="1" applyProtection="1">
      <alignment horizontal="center" vertical="center" wrapText="1"/>
      <protection locked="0"/>
    </xf>
    <xf numFmtId="0" fontId="54" fillId="33" borderId="20" xfId="0" applyFont="1" applyFill="1" applyBorder="1" applyAlignment="1" applyProtection="1">
      <alignment horizontal="center" vertical="center" wrapText="1"/>
      <protection locked="0"/>
    </xf>
    <xf numFmtId="0" fontId="54" fillId="33" borderId="21" xfId="0" applyFont="1" applyFill="1" applyBorder="1" applyAlignment="1" applyProtection="1">
      <alignment horizontal="center" vertical="center" wrapText="1"/>
      <protection locked="0"/>
    </xf>
    <xf numFmtId="0" fontId="54" fillId="33" borderId="22" xfId="0" applyFont="1" applyFill="1" applyBorder="1" applyAlignment="1" applyProtection="1">
      <alignment horizontal="center" vertical="center" wrapText="1"/>
      <protection locked="0"/>
    </xf>
    <xf numFmtId="0" fontId="54" fillId="33" borderId="23" xfId="0" applyFont="1" applyFill="1" applyBorder="1" applyAlignment="1" applyProtection="1">
      <alignment horizontal="center" vertical="center" wrapText="1"/>
      <protection locked="0"/>
    </xf>
    <xf numFmtId="0" fontId="54" fillId="33" borderId="24" xfId="0" applyFont="1" applyFill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3" borderId="15" xfId="0" applyFont="1" applyFill="1" applyBorder="1" applyAlignment="1" applyProtection="1">
      <alignment horizontal="center" vertical="center" wrapText="1"/>
      <protection locked="0"/>
    </xf>
    <xf numFmtId="0" fontId="54" fillId="33" borderId="25" xfId="0" applyFont="1" applyFill="1" applyBorder="1" applyAlignment="1" applyProtection="1">
      <alignment horizontal="center" vertical="center" wrapText="1"/>
      <protection locked="0"/>
    </xf>
    <xf numFmtId="0" fontId="54" fillId="33" borderId="26" xfId="0" applyFont="1" applyFill="1" applyBorder="1" applyAlignment="1" applyProtection="1">
      <alignment horizontal="center" vertical="center" wrapText="1"/>
      <protection locked="0"/>
    </xf>
    <xf numFmtId="0" fontId="54" fillId="34" borderId="10" xfId="0" applyFont="1" applyFill="1" applyBorder="1" applyAlignment="1" applyProtection="1">
      <alignment horizontal="center" vertical="center" wrapText="1"/>
      <protection/>
    </xf>
    <xf numFmtId="170" fontId="54" fillId="34" borderId="10" xfId="49" applyNumberFormat="1" applyFont="1" applyFill="1" applyBorder="1" applyAlignment="1" applyProtection="1">
      <alignment horizontal="center" vertical="center" wrapText="1"/>
      <protection/>
    </xf>
    <xf numFmtId="1" fontId="54" fillId="33" borderId="25" xfId="49" applyNumberFormat="1" applyFont="1" applyFill="1" applyBorder="1" applyAlignment="1" applyProtection="1">
      <alignment horizontal="center" vertical="center" wrapText="1"/>
      <protection locked="0"/>
    </xf>
    <xf numFmtId="1" fontId="54" fillId="33" borderId="20" xfId="49" applyNumberFormat="1" applyFont="1" applyFill="1" applyBorder="1" applyAlignment="1" applyProtection="1">
      <alignment horizontal="center" vertical="center" wrapText="1"/>
      <protection locked="0"/>
    </xf>
    <xf numFmtId="1" fontId="54" fillId="33" borderId="26" xfId="49" applyNumberFormat="1" applyFont="1" applyFill="1" applyBorder="1" applyAlignment="1" applyProtection="1">
      <alignment horizontal="center" vertical="center" wrapText="1"/>
      <protection locked="0"/>
    </xf>
    <xf numFmtId="1" fontId="54" fillId="33" borderId="24" xfId="49" applyNumberFormat="1" applyFont="1" applyFill="1" applyBorder="1" applyAlignment="1" applyProtection="1">
      <alignment horizontal="center" vertical="center" wrapText="1"/>
      <protection locked="0"/>
    </xf>
    <xf numFmtId="0" fontId="54" fillId="33" borderId="0" xfId="0" applyFont="1" applyFill="1" applyBorder="1" applyAlignment="1" applyProtection="1">
      <alignment horizontal="center" vertical="center" wrapText="1"/>
      <protection locked="0"/>
    </xf>
    <xf numFmtId="170" fontId="54" fillId="34" borderId="19" xfId="49" applyNumberFormat="1" applyFont="1" applyFill="1" applyBorder="1" applyAlignment="1" applyProtection="1">
      <alignment horizontal="center" vertical="center" wrapText="1"/>
      <protection/>
    </xf>
    <xf numFmtId="170" fontId="54" fillId="34" borderId="20" xfId="49" applyNumberFormat="1" applyFont="1" applyFill="1" applyBorder="1" applyAlignment="1" applyProtection="1">
      <alignment horizontal="center" vertical="center" wrapText="1"/>
      <protection/>
    </xf>
    <xf numFmtId="170" fontId="54" fillId="34" borderId="23" xfId="49" applyNumberFormat="1" applyFont="1" applyFill="1" applyBorder="1" applyAlignment="1" applyProtection="1">
      <alignment horizontal="center" vertical="center" wrapText="1"/>
      <protection/>
    </xf>
    <xf numFmtId="170" fontId="54" fillId="34" borderId="24" xfId="49" applyNumberFormat="1" applyFont="1" applyFill="1" applyBorder="1" applyAlignment="1" applyProtection="1">
      <alignment horizontal="center" vertical="center" wrapText="1"/>
      <protection/>
    </xf>
    <xf numFmtId="170" fontId="54" fillId="34" borderId="21" xfId="49" applyNumberFormat="1" applyFont="1" applyFill="1" applyBorder="1" applyAlignment="1" applyProtection="1">
      <alignment horizontal="center" vertical="center" wrapText="1"/>
      <protection/>
    </xf>
    <xf numFmtId="170" fontId="54" fillId="34" borderId="22" xfId="49" applyNumberFormat="1" applyFont="1" applyFill="1" applyBorder="1" applyAlignment="1" applyProtection="1">
      <alignment horizontal="center" vertical="center" wrapText="1"/>
      <protection/>
    </xf>
    <xf numFmtId="0" fontId="58" fillId="33" borderId="14" xfId="45" applyFont="1" applyFill="1" applyBorder="1" applyAlignment="1" applyProtection="1">
      <alignment horizontal="center" vertical="center" wrapText="1"/>
      <protection locked="0"/>
    </xf>
    <xf numFmtId="0" fontId="58" fillId="33" borderId="13" xfId="45" applyFont="1" applyFill="1" applyBorder="1" applyAlignment="1" applyProtection="1">
      <alignment horizontal="center" vertical="center" wrapText="1"/>
      <protection locked="0"/>
    </xf>
    <xf numFmtId="0" fontId="57" fillId="34" borderId="14" xfId="0" applyFont="1" applyFill="1" applyBorder="1" applyAlignment="1" applyProtection="1">
      <alignment horizontal="center" vertical="center" wrapText="1"/>
      <protection/>
    </xf>
    <xf numFmtId="0" fontId="57" fillId="34" borderId="13" xfId="0" applyFont="1" applyFill="1" applyBorder="1" applyAlignment="1" applyProtection="1">
      <alignment horizontal="center" vertical="center" wrapText="1"/>
      <protection/>
    </xf>
    <xf numFmtId="0" fontId="56" fillId="34" borderId="10" xfId="0" applyFont="1" applyFill="1" applyBorder="1" applyAlignment="1" applyProtection="1">
      <alignment horizontal="center" vertical="center" wrapText="1"/>
      <protection/>
    </xf>
    <xf numFmtId="0" fontId="54" fillId="33" borderId="16" xfId="0" applyFont="1" applyFill="1" applyBorder="1" applyAlignment="1" applyProtection="1">
      <alignment horizontal="center" vertical="center" wrapText="1"/>
      <protection/>
    </xf>
    <xf numFmtId="0" fontId="54" fillId="33" borderId="17" xfId="0" applyFont="1" applyFill="1" applyBorder="1" applyAlignment="1" applyProtection="1">
      <alignment horizontal="center" vertical="center" wrapText="1"/>
      <protection/>
    </xf>
    <xf numFmtId="0" fontId="54" fillId="33" borderId="18" xfId="0" applyFont="1" applyFill="1" applyBorder="1" applyAlignment="1" applyProtection="1">
      <alignment horizontal="center" vertical="center" wrapText="1"/>
      <protection/>
    </xf>
    <xf numFmtId="1" fontId="54" fillId="33" borderId="0" xfId="49" applyNumberFormat="1" applyFont="1" applyFill="1" applyBorder="1" applyAlignment="1" applyProtection="1">
      <alignment horizontal="center" vertical="center" wrapText="1"/>
      <protection locked="0"/>
    </xf>
    <xf numFmtId="1" fontId="54" fillId="33" borderId="22" xfId="49" applyNumberFormat="1" applyFont="1" applyFill="1" applyBorder="1" applyAlignment="1" applyProtection="1">
      <alignment horizontal="center" vertical="center" wrapText="1"/>
      <protection locked="0"/>
    </xf>
    <xf numFmtId="170" fontId="54" fillId="33" borderId="19" xfId="49" applyNumberFormat="1" applyFont="1" applyFill="1" applyBorder="1" applyAlignment="1" applyProtection="1">
      <alignment horizontal="left" vertical="center" wrapText="1"/>
      <protection/>
    </xf>
    <xf numFmtId="170" fontId="54" fillId="33" borderId="20" xfId="49" applyNumberFormat="1" applyFont="1" applyFill="1" applyBorder="1" applyAlignment="1" applyProtection="1">
      <alignment horizontal="left" vertical="center" wrapText="1"/>
      <protection/>
    </xf>
    <xf numFmtId="170" fontId="54" fillId="33" borderId="21" xfId="49" applyNumberFormat="1" applyFont="1" applyFill="1" applyBorder="1" applyAlignment="1" applyProtection="1">
      <alignment horizontal="left" vertical="center" wrapText="1"/>
      <protection/>
    </xf>
    <xf numFmtId="170" fontId="54" fillId="33" borderId="22" xfId="49" applyNumberFormat="1" applyFont="1" applyFill="1" applyBorder="1" applyAlignment="1" applyProtection="1">
      <alignment horizontal="left" vertical="center" wrapText="1"/>
      <protection/>
    </xf>
    <xf numFmtId="170" fontId="54" fillId="33" borderId="23" xfId="49" applyNumberFormat="1" applyFont="1" applyFill="1" applyBorder="1" applyAlignment="1" applyProtection="1">
      <alignment horizontal="left" vertical="center" wrapText="1"/>
      <protection/>
    </xf>
    <xf numFmtId="170" fontId="54" fillId="33" borderId="24" xfId="49" applyNumberFormat="1" applyFont="1" applyFill="1" applyBorder="1" applyAlignment="1" applyProtection="1">
      <alignment horizontal="left" vertical="center" wrapText="1"/>
      <protection/>
    </xf>
    <xf numFmtId="0" fontId="54" fillId="33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52" applyNumberFormat="1" applyFont="1" applyBorder="1" applyAlignment="1" applyProtection="1">
      <alignment horizontal="center" vertical="center" wrapText="1"/>
      <protection locked="0"/>
    </xf>
    <xf numFmtId="0" fontId="56" fillId="34" borderId="14" xfId="0" applyFont="1" applyFill="1" applyBorder="1" applyAlignment="1" applyProtection="1">
      <alignment horizontal="center" vertical="center" wrapText="1"/>
      <protection/>
    </xf>
    <xf numFmtId="0" fontId="56" fillId="34" borderId="15" xfId="0" applyFont="1" applyFill="1" applyBorder="1" applyAlignment="1" applyProtection="1">
      <alignment horizontal="center" vertical="center" wrapText="1"/>
      <protection/>
    </xf>
    <xf numFmtId="0" fontId="56" fillId="34" borderId="13" xfId="0" applyFont="1" applyFill="1" applyBorder="1" applyAlignment="1" applyProtection="1">
      <alignment horizontal="center" vertical="center" wrapText="1"/>
      <protection/>
    </xf>
    <xf numFmtId="0" fontId="59" fillId="35" borderId="10" xfId="0" applyFont="1" applyFill="1" applyBorder="1" applyAlignment="1" applyProtection="1">
      <alignment horizontal="center" vertical="center" wrapText="1"/>
      <protection/>
    </xf>
    <xf numFmtId="0" fontId="6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8" fillId="0" borderId="19" xfId="0" applyNumberFormat="1" applyFont="1" applyBorder="1" applyAlignment="1" applyProtection="1">
      <alignment horizontal="center" vertical="center" wrapText="1"/>
      <protection locked="0"/>
    </xf>
    <xf numFmtId="0" fontId="8" fillId="0" borderId="20" xfId="0" applyNumberFormat="1" applyFont="1" applyBorder="1" applyAlignment="1" applyProtection="1">
      <alignment horizontal="center" vertical="center" wrapText="1"/>
      <protection locked="0"/>
    </xf>
    <xf numFmtId="0" fontId="8" fillId="0" borderId="21" xfId="0" applyNumberFormat="1" applyFont="1" applyBorder="1" applyAlignment="1" applyProtection="1">
      <alignment horizontal="center" vertical="center" wrapText="1"/>
      <protection locked="0"/>
    </xf>
    <xf numFmtId="0" fontId="8" fillId="0" borderId="22" xfId="0" applyNumberFormat="1" applyFont="1" applyBorder="1" applyAlignment="1" applyProtection="1">
      <alignment horizontal="center" vertical="center" wrapText="1"/>
      <protection locked="0"/>
    </xf>
    <xf numFmtId="0" fontId="8" fillId="0" borderId="23" xfId="0" applyNumberFormat="1" applyFont="1" applyBorder="1" applyAlignment="1" applyProtection="1">
      <alignment horizontal="center" vertical="center" wrapText="1"/>
      <protection locked="0"/>
    </xf>
    <xf numFmtId="0" fontId="8" fillId="0" borderId="24" xfId="0" applyNumberFormat="1" applyFont="1" applyBorder="1" applyAlignment="1" applyProtection="1">
      <alignment horizontal="center" vertical="center" wrapText="1"/>
      <protection locked="0"/>
    </xf>
    <xf numFmtId="0" fontId="9" fillId="0" borderId="19" xfId="0" applyNumberFormat="1" applyFont="1" applyBorder="1" applyAlignment="1" applyProtection="1">
      <alignment horizontal="center" vertical="center" wrapText="1"/>
      <protection locked="0"/>
    </xf>
    <xf numFmtId="0" fontId="9" fillId="0" borderId="25" xfId="0" applyNumberFormat="1" applyFont="1" applyBorder="1" applyAlignment="1" applyProtection="1">
      <alignment horizontal="center" vertical="center" wrapText="1"/>
      <protection locked="0"/>
    </xf>
    <xf numFmtId="0" fontId="9" fillId="0" borderId="20" xfId="0" applyNumberFormat="1" applyFont="1" applyBorder="1" applyAlignment="1" applyProtection="1">
      <alignment horizontal="center" vertical="center" wrapText="1"/>
      <protection locked="0"/>
    </xf>
    <xf numFmtId="0" fontId="9" fillId="0" borderId="23" xfId="0" applyNumberFormat="1" applyFont="1" applyBorder="1" applyAlignment="1" applyProtection="1">
      <alignment horizontal="center" vertical="center" wrapText="1"/>
      <protection locked="0"/>
    </xf>
    <xf numFmtId="0" fontId="9" fillId="0" borderId="26" xfId="0" applyNumberFormat="1" applyFont="1" applyBorder="1" applyAlignment="1" applyProtection="1">
      <alignment horizontal="center" vertical="center" wrapText="1"/>
      <protection locked="0"/>
    </xf>
    <xf numFmtId="0" fontId="9" fillId="0" borderId="24" xfId="0" applyNumberFormat="1" applyFont="1" applyBorder="1" applyAlignment="1" applyProtection="1">
      <alignment horizontal="center" vertical="center" wrapText="1"/>
      <protection locked="0"/>
    </xf>
    <xf numFmtId="0" fontId="12" fillId="0" borderId="19" xfId="0" applyNumberFormat="1" applyFont="1" applyBorder="1" applyAlignment="1" applyProtection="1">
      <alignment horizontal="center" vertical="center" wrapText="1"/>
      <protection locked="0"/>
    </xf>
    <xf numFmtId="0" fontId="12" fillId="0" borderId="25" xfId="0" applyNumberFormat="1" applyFont="1" applyBorder="1" applyAlignment="1" applyProtection="1">
      <alignment horizontal="center" vertical="center" wrapText="1"/>
      <protection locked="0"/>
    </xf>
    <xf numFmtId="0" fontId="12" fillId="0" borderId="20" xfId="0" applyNumberFormat="1" applyFont="1" applyBorder="1" applyAlignment="1" applyProtection="1">
      <alignment horizontal="center" vertical="center" wrapText="1"/>
      <protection locked="0"/>
    </xf>
    <xf numFmtId="0" fontId="12" fillId="0" borderId="23" xfId="0" applyNumberFormat="1" applyFont="1" applyBorder="1" applyAlignment="1" applyProtection="1">
      <alignment horizontal="center" vertical="center" wrapText="1"/>
      <protection locked="0"/>
    </xf>
    <xf numFmtId="0" fontId="12" fillId="0" borderId="26" xfId="0" applyNumberFormat="1" applyFont="1" applyBorder="1" applyAlignment="1" applyProtection="1">
      <alignment horizontal="center" vertical="center" wrapText="1"/>
      <protection locked="0"/>
    </xf>
    <xf numFmtId="0" fontId="12" fillId="0" borderId="24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114300</xdr:rowOff>
    </xdr:from>
    <xdr:to>
      <xdr:col>1</xdr:col>
      <xdr:colOff>628650</xdr:colOff>
      <xdr:row>3</xdr:row>
      <xdr:rowOff>190500</xdr:rowOff>
    </xdr:to>
    <xdr:pic>
      <xdr:nvPicPr>
        <xdr:cNvPr id="1" name="Picture 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23850" y="114300"/>
          <a:ext cx="6572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Relationship Id="rId5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7"/>
  <sheetViews>
    <sheetView showGridLines="0" tabSelected="1" workbookViewId="0" topLeftCell="D1">
      <selection activeCell="L11" sqref="L11:L17"/>
    </sheetView>
  </sheetViews>
  <sheetFormatPr defaultColWidth="11.421875" defaultRowHeight="15"/>
  <cols>
    <col min="1" max="1" width="5.28125" style="2" customWidth="1"/>
    <col min="2" max="2" width="14.28125" style="2" customWidth="1"/>
    <col min="3" max="3" width="7.8515625" style="2" customWidth="1"/>
    <col min="4" max="4" width="19.421875" style="2" customWidth="1"/>
    <col min="5" max="5" width="13.28125" style="2" customWidth="1"/>
    <col min="6" max="6" width="5.421875" style="2" customWidth="1"/>
    <col min="7" max="7" width="12.140625" style="2" customWidth="1"/>
    <col min="8" max="8" width="14.421875" style="2" customWidth="1"/>
    <col min="9" max="9" width="11.7109375" style="2" customWidth="1"/>
    <col min="10" max="10" width="13.28125" style="2" customWidth="1"/>
    <col min="11" max="11" width="12.7109375" style="2" customWidth="1"/>
    <col min="12" max="12" width="11.00390625" style="2" customWidth="1"/>
    <col min="13" max="13" width="11.28125" style="2" customWidth="1"/>
    <col min="14" max="14" width="8.7109375" style="2" customWidth="1"/>
    <col min="15" max="15" width="8.00390625" style="2" customWidth="1"/>
    <col min="16" max="16" width="6.7109375" style="2" customWidth="1"/>
    <col min="17" max="17" width="6.00390625" style="2" customWidth="1"/>
    <col min="18" max="18" width="5.57421875" style="2" customWidth="1"/>
    <col min="19" max="19" width="10.8515625" style="2" customWidth="1"/>
    <col min="20" max="20" width="5.57421875" style="2" customWidth="1"/>
    <col min="21" max="21" width="11.421875" style="2" customWidth="1"/>
    <col min="22" max="22" width="17.00390625" style="2" hidden="1" customWidth="1"/>
    <col min="23" max="23" width="49.28125" style="2" hidden="1" customWidth="1"/>
    <col min="24" max="24" width="16.7109375" style="2" hidden="1" customWidth="1"/>
    <col min="25" max="25" width="17.421875" style="2" hidden="1" customWidth="1"/>
    <col min="26" max="26" width="16.28125" style="2" hidden="1" customWidth="1"/>
    <col min="27" max="27" width="18.421875" style="2" hidden="1" customWidth="1"/>
    <col min="28" max="28" width="21.421875" style="2" hidden="1" customWidth="1"/>
    <col min="29" max="32" width="11.421875" style="2" hidden="1" customWidth="1"/>
    <col min="33" max="16384" width="11.421875" style="2" customWidth="1"/>
  </cols>
  <sheetData>
    <row r="1" spans="1:20" ht="22.5" customHeight="1">
      <c r="A1" s="74"/>
      <c r="B1" s="75"/>
      <c r="C1" s="80" t="s">
        <v>5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2"/>
      <c r="S1" s="33" t="s">
        <v>82</v>
      </c>
      <c r="T1" s="33"/>
    </row>
    <row r="2" spans="1:20" ht="22.5" customHeight="1">
      <c r="A2" s="76"/>
      <c r="B2" s="77"/>
      <c r="C2" s="83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5"/>
      <c r="S2" s="33"/>
      <c r="T2" s="33"/>
    </row>
    <row r="3" spans="1:20" ht="22.5" customHeight="1">
      <c r="A3" s="76"/>
      <c r="B3" s="77"/>
      <c r="C3" s="86" t="s">
        <v>45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8"/>
      <c r="S3" s="33"/>
      <c r="T3" s="33"/>
    </row>
    <row r="4" spans="1:20" ht="22.5" customHeight="1">
      <c r="A4" s="78"/>
      <c r="B4" s="79"/>
      <c r="C4" s="89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1"/>
      <c r="S4" s="33"/>
      <c r="T4" s="33"/>
    </row>
    <row r="5" ht="6" customHeight="1">
      <c r="U5" s="67"/>
    </row>
    <row r="6" spans="1:21" ht="30" customHeight="1">
      <c r="A6" s="21" t="s">
        <v>46</v>
      </c>
      <c r="B6" s="21"/>
      <c r="C6" s="21"/>
      <c r="D6" s="18"/>
      <c r="E6" s="19"/>
      <c r="F6" s="20"/>
      <c r="G6" s="13" t="s">
        <v>53</v>
      </c>
      <c r="H6" s="4"/>
      <c r="I6" s="54" t="s">
        <v>48</v>
      </c>
      <c r="J6" s="54"/>
      <c r="K6" s="17"/>
      <c r="L6" s="17"/>
      <c r="M6" s="17"/>
      <c r="N6" s="68" t="s">
        <v>80</v>
      </c>
      <c r="O6" s="69"/>
      <c r="P6" s="69"/>
      <c r="Q6" s="70"/>
      <c r="R6" s="18"/>
      <c r="S6" s="19"/>
      <c r="T6" s="20"/>
      <c r="U6" s="67"/>
    </row>
    <row r="7" spans="1:21" s="3" customFormat="1" ht="27.75" customHeight="1">
      <c r="A7" s="21" t="s">
        <v>47</v>
      </c>
      <c r="B7" s="21"/>
      <c r="C7" s="21"/>
      <c r="D7" s="25"/>
      <c r="E7" s="34"/>
      <c r="F7" s="26"/>
      <c r="G7" s="13" t="s">
        <v>51</v>
      </c>
      <c r="H7" s="9"/>
      <c r="I7" s="21" t="s">
        <v>49</v>
      </c>
      <c r="J7" s="21"/>
      <c r="K7" s="17"/>
      <c r="L7" s="17"/>
      <c r="M7" s="17"/>
      <c r="N7" s="68" t="s">
        <v>81</v>
      </c>
      <c r="O7" s="69"/>
      <c r="P7" s="69"/>
      <c r="Q7" s="70"/>
      <c r="R7" s="17"/>
      <c r="S7" s="17"/>
      <c r="T7" s="17"/>
      <c r="U7" s="67"/>
    </row>
    <row r="8" spans="1:20" ht="32.25" customHeight="1">
      <c r="A8" s="21" t="s">
        <v>50</v>
      </c>
      <c r="B8" s="21"/>
      <c r="C8" s="21"/>
      <c r="D8" s="25"/>
      <c r="E8" s="34"/>
      <c r="F8" s="26"/>
      <c r="G8" s="13" t="s">
        <v>56</v>
      </c>
      <c r="H8" s="4"/>
      <c r="I8" s="21" t="s">
        <v>52</v>
      </c>
      <c r="J8" s="21"/>
      <c r="K8" s="17"/>
      <c r="L8" s="17"/>
      <c r="M8" s="17"/>
      <c r="N8" s="21" t="s">
        <v>18</v>
      </c>
      <c r="O8" s="21"/>
      <c r="P8" s="21"/>
      <c r="Q8" s="21"/>
      <c r="R8" s="18"/>
      <c r="S8" s="19"/>
      <c r="T8" s="20"/>
    </row>
    <row r="9" spans="1:20" ht="16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8" ht="26.25" customHeight="1">
      <c r="A10" s="14" t="s">
        <v>0</v>
      </c>
      <c r="B10" s="21" t="s">
        <v>1</v>
      </c>
      <c r="C10" s="21"/>
      <c r="D10" s="21"/>
      <c r="E10" s="52" t="s">
        <v>6</v>
      </c>
      <c r="F10" s="53"/>
      <c r="G10" s="15" t="s">
        <v>3</v>
      </c>
      <c r="H10" s="15" t="s">
        <v>7</v>
      </c>
      <c r="I10" s="14" t="s">
        <v>8</v>
      </c>
      <c r="J10" s="15" t="s">
        <v>2</v>
      </c>
      <c r="K10" s="14" t="s">
        <v>63</v>
      </c>
      <c r="L10" s="14" t="s">
        <v>64</v>
      </c>
      <c r="M10" s="14" t="s">
        <v>65</v>
      </c>
      <c r="N10" s="52" t="s">
        <v>66</v>
      </c>
      <c r="O10" s="53"/>
      <c r="P10" s="21" t="s">
        <v>67</v>
      </c>
      <c r="Q10" s="21"/>
      <c r="R10" s="21"/>
      <c r="S10" s="21"/>
      <c r="T10" s="21"/>
      <c r="W10" s="6" t="s">
        <v>68</v>
      </c>
      <c r="X10" s="6" t="s">
        <v>69</v>
      </c>
      <c r="Y10" s="6" t="s">
        <v>21</v>
      </c>
      <c r="Z10" s="6" t="s">
        <v>22</v>
      </c>
      <c r="AA10" s="4" t="s">
        <v>70</v>
      </c>
      <c r="AB10" s="4" t="s">
        <v>71</v>
      </c>
    </row>
    <row r="11" spans="1:28" ht="18.75" customHeight="1">
      <c r="A11" s="66"/>
      <c r="B11" s="16" t="s">
        <v>40</v>
      </c>
      <c r="C11" s="25"/>
      <c r="D11" s="26"/>
      <c r="E11" s="27"/>
      <c r="F11" s="28"/>
      <c r="G11" s="22"/>
      <c r="H11" s="22"/>
      <c r="I11" s="22"/>
      <c r="J11" s="22"/>
      <c r="K11" s="22"/>
      <c r="L11" s="22"/>
      <c r="M11" s="55">
        <f ca="1">IF($C$13="","",INDIRECT($C$13))</f>
      </c>
      <c r="N11" s="60">
        <f>IF(OR(L11="",M11=""),"",L11*M11)</f>
      </c>
      <c r="O11" s="61"/>
      <c r="P11" s="37" t="s">
        <v>54</v>
      </c>
      <c r="Q11" s="37"/>
      <c r="R11" s="35"/>
      <c r="S11" s="35"/>
      <c r="T11" s="28"/>
      <c r="W11" s="7" t="s">
        <v>23</v>
      </c>
      <c r="X11" s="7" t="s">
        <v>23</v>
      </c>
      <c r="Y11" s="7" t="s">
        <v>25</v>
      </c>
      <c r="Z11" s="7" t="s">
        <v>26</v>
      </c>
      <c r="AA11" s="7" t="s">
        <v>23</v>
      </c>
      <c r="AB11" s="7" t="s">
        <v>23</v>
      </c>
    </row>
    <row r="12" spans="1:28" ht="15.75" customHeight="1">
      <c r="A12" s="66"/>
      <c r="B12" s="16" t="s">
        <v>41</v>
      </c>
      <c r="C12" s="25"/>
      <c r="D12" s="26"/>
      <c r="E12" s="29"/>
      <c r="F12" s="30"/>
      <c r="G12" s="23"/>
      <c r="H12" s="23"/>
      <c r="I12" s="23"/>
      <c r="J12" s="23"/>
      <c r="K12" s="23"/>
      <c r="L12" s="23"/>
      <c r="M12" s="56"/>
      <c r="N12" s="62"/>
      <c r="O12" s="63"/>
      <c r="P12" s="37"/>
      <c r="Q12" s="37"/>
      <c r="R12" s="36"/>
      <c r="S12" s="36"/>
      <c r="T12" s="32"/>
      <c r="W12" s="7" t="s">
        <v>27</v>
      </c>
      <c r="X12" s="7" t="s">
        <v>27</v>
      </c>
      <c r="Y12" s="7" t="s">
        <v>29</v>
      </c>
      <c r="Z12" s="7" t="s">
        <v>30</v>
      </c>
      <c r="AA12" s="7" t="s">
        <v>27</v>
      </c>
      <c r="AB12" s="7" t="s">
        <v>27</v>
      </c>
    </row>
    <row r="13" spans="1:28" ht="15.75" customHeight="1">
      <c r="A13" s="66"/>
      <c r="B13" s="16" t="s">
        <v>39</v>
      </c>
      <c r="C13" s="25"/>
      <c r="D13" s="26"/>
      <c r="E13" s="29"/>
      <c r="F13" s="30"/>
      <c r="G13" s="23"/>
      <c r="H13" s="23"/>
      <c r="I13" s="23"/>
      <c r="J13" s="23"/>
      <c r="K13" s="23"/>
      <c r="L13" s="23"/>
      <c r="M13" s="56"/>
      <c r="N13" s="62"/>
      <c r="O13" s="63"/>
      <c r="P13" s="38" t="s">
        <v>4</v>
      </c>
      <c r="Q13" s="38"/>
      <c r="R13" s="39"/>
      <c r="S13" s="39"/>
      <c r="T13" s="40"/>
      <c r="W13" s="7" t="s">
        <v>31</v>
      </c>
      <c r="X13" s="7" t="s">
        <v>31</v>
      </c>
      <c r="Y13" s="7" t="s">
        <v>33</v>
      </c>
      <c r="Z13" s="7" t="s">
        <v>34</v>
      </c>
      <c r="AA13" s="7" t="s">
        <v>31</v>
      </c>
      <c r="AB13" s="7" t="s">
        <v>31</v>
      </c>
    </row>
    <row r="14" spans="1:32" ht="14.25" customHeight="1">
      <c r="A14" s="66"/>
      <c r="B14" s="16" t="s">
        <v>9</v>
      </c>
      <c r="C14" s="25"/>
      <c r="D14" s="26"/>
      <c r="E14" s="29"/>
      <c r="F14" s="30"/>
      <c r="G14" s="23"/>
      <c r="H14" s="23"/>
      <c r="I14" s="23"/>
      <c r="J14" s="23"/>
      <c r="K14" s="23"/>
      <c r="L14" s="23"/>
      <c r="M14" s="56"/>
      <c r="N14" s="62"/>
      <c r="O14" s="63"/>
      <c r="P14" s="38"/>
      <c r="Q14" s="38"/>
      <c r="R14" s="41"/>
      <c r="S14" s="41"/>
      <c r="T14" s="42"/>
      <c r="W14" s="7" t="s">
        <v>35</v>
      </c>
      <c r="X14" s="7" t="s">
        <v>35</v>
      </c>
      <c r="Y14" s="7" t="s">
        <v>37</v>
      </c>
      <c r="Z14" s="7" t="s">
        <v>38</v>
      </c>
      <c r="AA14" s="7" t="s">
        <v>35</v>
      </c>
      <c r="AB14" s="7" t="s">
        <v>35</v>
      </c>
      <c r="AF14" s="2" t="s">
        <v>78</v>
      </c>
    </row>
    <row r="15" spans="1:32" ht="15.75" customHeight="1">
      <c r="A15" s="66"/>
      <c r="B15" s="16" t="s">
        <v>42</v>
      </c>
      <c r="C15" s="50"/>
      <c r="D15" s="26"/>
      <c r="E15" s="29"/>
      <c r="F15" s="30"/>
      <c r="G15" s="23"/>
      <c r="H15" s="23"/>
      <c r="I15" s="23"/>
      <c r="J15" s="23"/>
      <c r="K15" s="23"/>
      <c r="L15" s="23"/>
      <c r="M15" s="56"/>
      <c r="N15" s="62"/>
      <c r="O15" s="63"/>
      <c r="P15" s="44" t="s">
        <v>55</v>
      </c>
      <c r="Q15" s="45"/>
      <c r="R15" s="27"/>
      <c r="S15" s="35"/>
      <c r="T15" s="28"/>
      <c r="W15" s="8"/>
      <c r="X15" s="8"/>
      <c r="Y15" s="8"/>
      <c r="Z15" s="8"/>
      <c r="AE15" s="2" t="s">
        <v>76</v>
      </c>
      <c r="AF15" s="2" t="s">
        <v>79</v>
      </c>
    </row>
    <row r="16" spans="1:31" ht="15.75" customHeight="1">
      <c r="A16" s="66"/>
      <c r="B16" s="16" t="s">
        <v>43</v>
      </c>
      <c r="C16" s="50"/>
      <c r="D16" s="51"/>
      <c r="E16" s="29"/>
      <c r="F16" s="30"/>
      <c r="G16" s="23"/>
      <c r="H16" s="23"/>
      <c r="I16" s="23"/>
      <c r="J16" s="23"/>
      <c r="K16" s="23"/>
      <c r="L16" s="23"/>
      <c r="M16" s="56"/>
      <c r="N16" s="62"/>
      <c r="O16" s="63"/>
      <c r="P16" s="48"/>
      <c r="Q16" s="49"/>
      <c r="R16" s="29"/>
      <c r="S16" s="43"/>
      <c r="T16" s="30"/>
      <c r="W16" s="8"/>
      <c r="X16" s="8"/>
      <c r="Y16" s="8"/>
      <c r="Z16" s="8"/>
      <c r="AE16" s="2" t="s">
        <v>74</v>
      </c>
    </row>
    <row r="17" spans="1:31" ht="14.25" customHeight="1">
      <c r="A17" s="66"/>
      <c r="B17" s="16" t="s">
        <v>44</v>
      </c>
      <c r="C17" s="25"/>
      <c r="D17" s="26"/>
      <c r="E17" s="31"/>
      <c r="F17" s="32"/>
      <c r="G17" s="24"/>
      <c r="H17" s="24"/>
      <c r="I17" s="24"/>
      <c r="J17" s="24"/>
      <c r="K17" s="24"/>
      <c r="L17" s="24"/>
      <c r="M17" s="57"/>
      <c r="N17" s="64"/>
      <c r="O17" s="65"/>
      <c r="P17" s="46"/>
      <c r="Q17" s="47"/>
      <c r="R17" s="31"/>
      <c r="S17" s="36"/>
      <c r="T17" s="32"/>
      <c r="W17" s="8"/>
      <c r="X17" s="8"/>
      <c r="Y17" s="8"/>
      <c r="Z17" s="8"/>
      <c r="AE17" s="3" t="s">
        <v>75</v>
      </c>
    </row>
    <row r="18" spans="1:31" ht="17.25" customHeight="1">
      <c r="A18" s="66"/>
      <c r="B18" s="16" t="s">
        <v>40</v>
      </c>
      <c r="C18" s="25"/>
      <c r="D18" s="26"/>
      <c r="E18" s="27"/>
      <c r="F18" s="28"/>
      <c r="G18" s="22"/>
      <c r="H18" s="22"/>
      <c r="I18" s="22"/>
      <c r="J18" s="22"/>
      <c r="K18" s="22"/>
      <c r="L18" s="22"/>
      <c r="M18" s="55">
        <f ca="1">IF($C$20="","",INDIRECT($C$20))</f>
      </c>
      <c r="N18" s="60">
        <f>IF(OR(L18="",M18=""),"",L18*M18)</f>
      </c>
      <c r="O18" s="61"/>
      <c r="P18" s="37" t="s">
        <v>54</v>
      </c>
      <c r="Q18" s="37"/>
      <c r="R18" s="35"/>
      <c r="S18" s="35"/>
      <c r="T18" s="28"/>
      <c r="W18" s="8" t="s">
        <v>68</v>
      </c>
      <c r="X18" s="8"/>
      <c r="Y18" s="8" t="s">
        <v>21</v>
      </c>
      <c r="Z18" s="8"/>
      <c r="AE18" s="2" t="s">
        <v>77</v>
      </c>
    </row>
    <row r="19" spans="1:26" ht="15.75" customHeight="1">
      <c r="A19" s="66"/>
      <c r="B19" s="16" t="s">
        <v>41</v>
      </c>
      <c r="C19" s="25"/>
      <c r="D19" s="26"/>
      <c r="E19" s="29"/>
      <c r="F19" s="30"/>
      <c r="G19" s="23"/>
      <c r="H19" s="23"/>
      <c r="I19" s="23"/>
      <c r="J19" s="23"/>
      <c r="K19" s="23"/>
      <c r="L19" s="23"/>
      <c r="M19" s="56"/>
      <c r="N19" s="62"/>
      <c r="O19" s="63"/>
      <c r="P19" s="37"/>
      <c r="Q19" s="37"/>
      <c r="R19" s="36"/>
      <c r="S19" s="36"/>
      <c r="T19" s="32"/>
      <c r="W19" s="7" t="s">
        <v>23</v>
      </c>
      <c r="X19" s="8">
        <f>R7*0.16</f>
        <v>0</v>
      </c>
      <c r="Y19" s="7" t="s">
        <v>25</v>
      </c>
      <c r="Z19" s="8">
        <f>R7*0.14</f>
        <v>0</v>
      </c>
    </row>
    <row r="20" spans="1:26" ht="14.25" customHeight="1">
      <c r="A20" s="66"/>
      <c r="B20" s="16" t="s">
        <v>39</v>
      </c>
      <c r="C20" s="25"/>
      <c r="D20" s="26"/>
      <c r="E20" s="29"/>
      <c r="F20" s="30"/>
      <c r="G20" s="23"/>
      <c r="H20" s="23"/>
      <c r="I20" s="23"/>
      <c r="J20" s="23"/>
      <c r="K20" s="23"/>
      <c r="L20" s="23"/>
      <c r="M20" s="56"/>
      <c r="N20" s="62"/>
      <c r="O20" s="63"/>
      <c r="P20" s="38" t="s">
        <v>4</v>
      </c>
      <c r="Q20" s="38"/>
      <c r="R20" s="39"/>
      <c r="S20" s="39"/>
      <c r="T20" s="40"/>
      <c r="W20" s="7" t="s">
        <v>27</v>
      </c>
      <c r="X20" s="8">
        <f>R7*0.14</f>
        <v>0</v>
      </c>
      <c r="Y20" s="7" t="s">
        <v>29</v>
      </c>
      <c r="Z20" s="8">
        <f>R7*0.12</f>
        <v>0</v>
      </c>
    </row>
    <row r="21" spans="1:26" ht="14.25" customHeight="1">
      <c r="A21" s="66"/>
      <c r="B21" s="16" t="s">
        <v>9</v>
      </c>
      <c r="C21" s="25"/>
      <c r="D21" s="26"/>
      <c r="E21" s="29"/>
      <c r="F21" s="30"/>
      <c r="G21" s="23"/>
      <c r="H21" s="23"/>
      <c r="I21" s="23"/>
      <c r="J21" s="23"/>
      <c r="K21" s="23"/>
      <c r="L21" s="23"/>
      <c r="M21" s="56"/>
      <c r="N21" s="62"/>
      <c r="O21" s="63"/>
      <c r="P21" s="38"/>
      <c r="Q21" s="38"/>
      <c r="R21" s="58"/>
      <c r="S21" s="58"/>
      <c r="T21" s="59"/>
      <c r="W21" s="7" t="s">
        <v>31</v>
      </c>
      <c r="X21" s="8">
        <f>R7*0.12</f>
        <v>0</v>
      </c>
      <c r="Y21" s="7" t="s">
        <v>33</v>
      </c>
      <c r="Z21" s="8">
        <f>R7*0.1</f>
        <v>0</v>
      </c>
    </row>
    <row r="22" spans="1:26" ht="20.25" customHeight="1">
      <c r="A22" s="66"/>
      <c r="B22" s="16" t="s">
        <v>42</v>
      </c>
      <c r="C22" s="25"/>
      <c r="D22" s="26"/>
      <c r="E22" s="29"/>
      <c r="F22" s="30"/>
      <c r="G22" s="23"/>
      <c r="H22" s="23"/>
      <c r="I22" s="23"/>
      <c r="J22" s="23"/>
      <c r="K22" s="23"/>
      <c r="L22" s="23"/>
      <c r="M22" s="56"/>
      <c r="N22" s="62"/>
      <c r="O22" s="63"/>
      <c r="P22" s="38"/>
      <c r="Q22" s="38"/>
      <c r="R22" s="41"/>
      <c r="S22" s="41"/>
      <c r="T22" s="42"/>
      <c r="W22" s="7" t="s">
        <v>35</v>
      </c>
      <c r="X22" s="8">
        <f>R7*0.1</f>
        <v>0</v>
      </c>
      <c r="Y22" s="7" t="s">
        <v>37</v>
      </c>
      <c r="Z22" s="8">
        <f>R7*0.08</f>
        <v>0</v>
      </c>
    </row>
    <row r="23" spans="1:26" ht="15" customHeight="1">
      <c r="A23" s="66"/>
      <c r="B23" s="16" t="s">
        <v>43</v>
      </c>
      <c r="C23" s="50"/>
      <c r="D23" s="26"/>
      <c r="E23" s="29"/>
      <c r="F23" s="30"/>
      <c r="G23" s="23"/>
      <c r="H23" s="23"/>
      <c r="I23" s="23"/>
      <c r="J23" s="23"/>
      <c r="K23" s="23"/>
      <c r="L23" s="23"/>
      <c r="M23" s="56"/>
      <c r="N23" s="62"/>
      <c r="O23" s="63"/>
      <c r="P23" s="44" t="s">
        <v>55</v>
      </c>
      <c r="Q23" s="45"/>
      <c r="R23" s="27"/>
      <c r="S23" s="35"/>
      <c r="T23" s="28"/>
      <c r="W23" s="8"/>
      <c r="X23" s="8"/>
      <c r="Y23" s="8"/>
      <c r="Z23" s="8"/>
    </row>
    <row r="24" spans="1:26" ht="14.25" customHeight="1">
      <c r="A24" s="66"/>
      <c r="B24" s="16" t="s">
        <v>44</v>
      </c>
      <c r="C24" s="25"/>
      <c r="D24" s="26"/>
      <c r="E24" s="31"/>
      <c r="F24" s="32"/>
      <c r="G24" s="24"/>
      <c r="H24" s="24"/>
      <c r="I24" s="24"/>
      <c r="J24" s="24"/>
      <c r="K24" s="24"/>
      <c r="L24" s="24"/>
      <c r="M24" s="57"/>
      <c r="N24" s="64"/>
      <c r="O24" s="65"/>
      <c r="P24" s="46"/>
      <c r="Q24" s="47"/>
      <c r="R24" s="31"/>
      <c r="S24" s="36"/>
      <c r="T24" s="32"/>
      <c r="W24" s="8"/>
      <c r="X24" s="8"/>
      <c r="Y24" s="8"/>
      <c r="Z24" s="8"/>
    </row>
    <row r="25" spans="1:26" ht="21.75" customHeight="1">
      <c r="A25" s="66"/>
      <c r="B25" s="16" t="s">
        <v>40</v>
      </c>
      <c r="C25" s="25"/>
      <c r="D25" s="26"/>
      <c r="E25" s="27"/>
      <c r="F25" s="28"/>
      <c r="G25" s="22"/>
      <c r="H25" s="22"/>
      <c r="I25" s="22"/>
      <c r="J25" s="22"/>
      <c r="K25" s="22"/>
      <c r="L25" s="22"/>
      <c r="M25" s="55">
        <f ca="1">IF($C$27="","",INDIRECT($C$27))</f>
      </c>
      <c r="N25" s="60">
        <f>IF(OR(L25="",M25=""),"",L25*M25)</f>
      </c>
      <c r="O25" s="61"/>
      <c r="P25" s="37" t="s">
        <v>54</v>
      </c>
      <c r="Q25" s="37"/>
      <c r="R25" s="35"/>
      <c r="S25" s="35"/>
      <c r="T25" s="28"/>
      <c r="W25" s="8" t="s">
        <v>20</v>
      </c>
      <c r="X25" s="8"/>
      <c r="Y25" s="8" t="s">
        <v>22</v>
      </c>
      <c r="Z25" s="8"/>
    </row>
    <row r="26" spans="1:26" ht="13.5" customHeight="1">
      <c r="A26" s="66"/>
      <c r="B26" s="16" t="s">
        <v>41</v>
      </c>
      <c r="C26" s="25"/>
      <c r="D26" s="26"/>
      <c r="E26" s="29"/>
      <c r="F26" s="30"/>
      <c r="G26" s="23"/>
      <c r="H26" s="23"/>
      <c r="I26" s="23"/>
      <c r="J26" s="23"/>
      <c r="K26" s="23"/>
      <c r="L26" s="23"/>
      <c r="M26" s="56"/>
      <c r="N26" s="62"/>
      <c r="O26" s="63"/>
      <c r="P26" s="37"/>
      <c r="Q26" s="37"/>
      <c r="R26" s="36"/>
      <c r="S26" s="36"/>
      <c r="T26" s="32"/>
      <c r="W26" s="7" t="s">
        <v>24</v>
      </c>
      <c r="X26" s="8">
        <f>R7*0.16</f>
        <v>0</v>
      </c>
      <c r="Y26" s="7" t="s">
        <v>26</v>
      </c>
      <c r="Z26" s="8">
        <f>R7*0.14</f>
        <v>0</v>
      </c>
    </row>
    <row r="27" spans="1:26" ht="17.25" customHeight="1">
      <c r="A27" s="66"/>
      <c r="B27" s="16" t="s">
        <v>39</v>
      </c>
      <c r="C27" s="25"/>
      <c r="D27" s="26"/>
      <c r="E27" s="29"/>
      <c r="F27" s="30"/>
      <c r="G27" s="23"/>
      <c r="H27" s="23"/>
      <c r="I27" s="23"/>
      <c r="J27" s="23"/>
      <c r="K27" s="23"/>
      <c r="L27" s="23"/>
      <c r="M27" s="56"/>
      <c r="N27" s="62"/>
      <c r="O27" s="63"/>
      <c r="P27" s="38" t="s">
        <v>4</v>
      </c>
      <c r="Q27" s="38"/>
      <c r="R27" s="39"/>
      <c r="S27" s="39"/>
      <c r="T27" s="40"/>
      <c r="W27" s="7" t="s">
        <v>28</v>
      </c>
      <c r="X27" s="8">
        <f>R7*0.14</f>
        <v>0</v>
      </c>
      <c r="Y27" s="7" t="s">
        <v>30</v>
      </c>
      <c r="Z27" s="8">
        <f>R7*0.12</f>
        <v>0</v>
      </c>
    </row>
    <row r="28" spans="1:26" ht="17.25" customHeight="1">
      <c r="A28" s="66"/>
      <c r="B28" s="16" t="s">
        <v>9</v>
      </c>
      <c r="C28" s="25"/>
      <c r="D28" s="26"/>
      <c r="E28" s="29"/>
      <c r="F28" s="30"/>
      <c r="G28" s="23"/>
      <c r="H28" s="23"/>
      <c r="I28" s="23"/>
      <c r="J28" s="23"/>
      <c r="K28" s="23"/>
      <c r="L28" s="23"/>
      <c r="M28" s="56"/>
      <c r="N28" s="62"/>
      <c r="O28" s="63"/>
      <c r="P28" s="38"/>
      <c r="Q28" s="38"/>
      <c r="R28" s="58"/>
      <c r="S28" s="58"/>
      <c r="T28" s="59"/>
      <c r="W28" s="7" t="s">
        <v>32</v>
      </c>
      <c r="X28" s="8">
        <f>R7*0.12</f>
        <v>0</v>
      </c>
      <c r="Y28" s="7" t="s">
        <v>34</v>
      </c>
      <c r="Z28" s="8">
        <f>R7*0.1</f>
        <v>0</v>
      </c>
    </row>
    <row r="29" spans="1:26" ht="15.75" customHeight="1">
      <c r="A29" s="66"/>
      <c r="B29" s="16" t="s">
        <v>42</v>
      </c>
      <c r="C29" s="25"/>
      <c r="D29" s="26"/>
      <c r="E29" s="29"/>
      <c r="F29" s="30"/>
      <c r="G29" s="23"/>
      <c r="H29" s="23"/>
      <c r="I29" s="23"/>
      <c r="J29" s="23"/>
      <c r="K29" s="23"/>
      <c r="L29" s="23"/>
      <c r="M29" s="56"/>
      <c r="N29" s="62"/>
      <c r="O29" s="63"/>
      <c r="P29" s="38"/>
      <c r="Q29" s="38"/>
      <c r="R29" s="41"/>
      <c r="S29" s="41"/>
      <c r="T29" s="42"/>
      <c r="W29" s="7" t="s">
        <v>36</v>
      </c>
      <c r="X29" s="8">
        <f>R7*0.1</f>
        <v>0</v>
      </c>
      <c r="Y29" s="7" t="s">
        <v>38</v>
      </c>
      <c r="Z29" s="8">
        <f>R7*0.08</f>
        <v>0</v>
      </c>
    </row>
    <row r="30" spans="1:26" ht="17.25" customHeight="1">
      <c r="A30" s="66"/>
      <c r="B30" s="16" t="s">
        <v>43</v>
      </c>
      <c r="C30" s="50"/>
      <c r="D30" s="26"/>
      <c r="E30" s="29"/>
      <c r="F30" s="30"/>
      <c r="G30" s="23"/>
      <c r="H30" s="23"/>
      <c r="I30" s="23"/>
      <c r="J30" s="23"/>
      <c r="K30" s="23"/>
      <c r="L30" s="23"/>
      <c r="M30" s="56"/>
      <c r="N30" s="62"/>
      <c r="O30" s="63"/>
      <c r="P30" s="44" t="s">
        <v>55</v>
      </c>
      <c r="Q30" s="45"/>
      <c r="R30" s="27"/>
      <c r="S30" s="35"/>
      <c r="T30" s="28"/>
      <c r="W30" s="8"/>
      <c r="X30" s="8"/>
      <c r="Y30" s="8"/>
      <c r="Z30" s="8"/>
    </row>
    <row r="31" spans="1:26" ht="17.25" customHeight="1">
      <c r="A31" s="66"/>
      <c r="B31" s="16" t="s">
        <v>44</v>
      </c>
      <c r="C31" s="25"/>
      <c r="D31" s="26"/>
      <c r="E31" s="31"/>
      <c r="F31" s="32"/>
      <c r="G31" s="24"/>
      <c r="H31" s="24"/>
      <c r="I31" s="24"/>
      <c r="J31" s="24"/>
      <c r="K31" s="24"/>
      <c r="L31" s="24"/>
      <c r="M31" s="57"/>
      <c r="N31" s="64"/>
      <c r="O31" s="65"/>
      <c r="P31" s="46"/>
      <c r="Q31" s="47"/>
      <c r="R31" s="31"/>
      <c r="S31" s="36"/>
      <c r="T31" s="32"/>
      <c r="W31" s="8"/>
      <c r="X31" s="8"/>
      <c r="Y31" s="8"/>
      <c r="Z31" s="8"/>
    </row>
    <row r="32" spans="25:26" ht="12.75" customHeight="1" thickBot="1">
      <c r="Y32" s="8"/>
      <c r="Z32" s="8"/>
    </row>
    <row r="33" spans="1:26" ht="25.5" customHeight="1" thickBot="1">
      <c r="A33" s="71"/>
      <c r="B33" s="71"/>
      <c r="C33" s="71" t="s">
        <v>57</v>
      </c>
      <c r="D33" s="71"/>
      <c r="E33" s="71"/>
      <c r="F33" s="71"/>
      <c r="G33" s="71"/>
      <c r="H33" s="71" t="s">
        <v>58</v>
      </c>
      <c r="I33" s="71"/>
      <c r="J33" s="71"/>
      <c r="K33" s="71"/>
      <c r="L33" s="71"/>
      <c r="M33" s="71" t="s">
        <v>59</v>
      </c>
      <c r="N33" s="71"/>
      <c r="O33" s="71"/>
      <c r="P33" s="71"/>
      <c r="Q33" s="71"/>
      <c r="R33" s="71"/>
      <c r="S33" s="71"/>
      <c r="T33" s="71"/>
      <c r="W33" s="12" t="s">
        <v>73</v>
      </c>
      <c r="X33" s="10">
        <f>R8*0.08</f>
        <v>0</v>
      </c>
      <c r="Y33" s="11">
        <v>0.08</v>
      </c>
      <c r="Z33" s="8"/>
    </row>
    <row r="34" spans="1:26" ht="24.75" customHeight="1" thickBot="1">
      <c r="A34" s="71" t="s">
        <v>60</v>
      </c>
      <c r="B34" s="71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18"/>
      <c r="N34" s="19"/>
      <c r="O34" s="19"/>
      <c r="P34" s="19"/>
      <c r="Q34" s="19"/>
      <c r="R34" s="19"/>
      <c r="S34" s="19"/>
      <c r="T34" s="20"/>
      <c r="W34" s="12" t="s">
        <v>20</v>
      </c>
      <c r="X34" s="10">
        <f>R8*0.1</f>
        <v>0</v>
      </c>
      <c r="Y34" s="11">
        <v>0.1</v>
      </c>
      <c r="Z34" s="8"/>
    </row>
    <row r="35" spans="1:26" ht="24.75" customHeight="1" thickBot="1">
      <c r="A35" s="71" t="s">
        <v>61</v>
      </c>
      <c r="B35" s="71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18"/>
      <c r="N35" s="19"/>
      <c r="O35" s="19"/>
      <c r="P35" s="19"/>
      <c r="Q35" s="19"/>
      <c r="R35" s="19"/>
      <c r="S35" s="19"/>
      <c r="T35" s="20"/>
      <c r="W35" s="12" t="s">
        <v>19</v>
      </c>
      <c r="X35" s="10">
        <f>R8*0.12</f>
        <v>0</v>
      </c>
      <c r="Y35" s="11">
        <v>0.12</v>
      </c>
      <c r="Z35" s="8"/>
    </row>
    <row r="36" spans="1:26" ht="24.75" customHeight="1" thickBot="1">
      <c r="A36" s="71" t="s">
        <v>62</v>
      </c>
      <c r="B36" s="71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18"/>
      <c r="N36" s="19"/>
      <c r="O36" s="19"/>
      <c r="P36" s="19"/>
      <c r="Q36" s="19"/>
      <c r="R36" s="19"/>
      <c r="S36" s="19"/>
      <c r="T36" s="20"/>
      <c r="W36" s="12" t="s">
        <v>72</v>
      </c>
      <c r="X36" s="10">
        <f>R8*0.14</f>
        <v>0</v>
      </c>
      <c r="Y36" s="11">
        <v>0.14</v>
      </c>
      <c r="Z36" s="8"/>
    </row>
    <row r="37" spans="25:26" ht="15">
      <c r="Y37" s="8"/>
      <c r="Z37" s="8"/>
    </row>
  </sheetData>
  <sheetProtection password="DC19" sheet="1" selectLockedCells="1"/>
  <mergeCells count="112">
    <mergeCell ref="A1:B4"/>
    <mergeCell ref="C1:R2"/>
    <mergeCell ref="C3:R4"/>
    <mergeCell ref="C33:G33"/>
    <mergeCell ref="C34:G34"/>
    <mergeCell ref="C36:G36"/>
    <mergeCell ref="C35:G35"/>
    <mergeCell ref="A34:B34"/>
    <mergeCell ref="A35:B35"/>
    <mergeCell ref="A36:B36"/>
    <mergeCell ref="A33:B33"/>
    <mergeCell ref="I8:J8"/>
    <mergeCell ref="H34:L34"/>
    <mergeCell ref="H35:L35"/>
    <mergeCell ref="H36:L36"/>
    <mergeCell ref="M33:T33"/>
    <mergeCell ref="M34:T34"/>
    <mergeCell ref="M35:T35"/>
    <mergeCell ref="M36:T36"/>
    <mergeCell ref="H33:L33"/>
    <mergeCell ref="R11:T12"/>
    <mergeCell ref="U5:U7"/>
    <mergeCell ref="E10:F10"/>
    <mergeCell ref="E11:F17"/>
    <mergeCell ref="H11:H17"/>
    <mergeCell ref="N8:Q8"/>
    <mergeCell ref="G11:G17"/>
    <mergeCell ref="I7:J7"/>
    <mergeCell ref="N6:Q6"/>
    <mergeCell ref="N7:Q7"/>
    <mergeCell ref="L18:L24"/>
    <mergeCell ref="K18:K24"/>
    <mergeCell ref="C19:D19"/>
    <mergeCell ref="H18:H24"/>
    <mergeCell ref="C11:D11"/>
    <mergeCell ref="I18:I24"/>
    <mergeCell ref="A18:A24"/>
    <mergeCell ref="C24:D24"/>
    <mergeCell ref="C29:D29"/>
    <mergeCell ref="C23:D23"/>
    <mergeCell ref="C18:D18"/>
    <mergeCell ref="K11:K17"/>
    <mergeCell ref="A11:A17"/>
    <mergeCell ref="C14:D14"/>
    <mergeCell ref="C15:D15"/>
    <mergeCell ref="P30:Q31"/>
    <mergeCell ref="C30:D30"/>
    <mergeCell ref="J25:J31"/>
    <mergeCell ref="K25:K31"/>
    <mergeCell ref="G25:G31"/>
    <mergeCell ref="H25:H31"/>
    <mergeCell ref="L25:L31"/>
    <mergeCell ref="E25:F31"/>
    <mergeCell ref="C27:D27"/>
    <mergeCell ref="C31:D31"/>
    <mergeCell ref="R20:T22"/>
    <mergeCell ref="P27:Q29"/>
    <mergeCell ref="R27:T29"/>
    <mergeCell ref="P13:Q14"/>
    <mergeCell ref="M18:M24"/>
    <mergeCell ref="N18:O24"/>
    <mergeCell ref="M25:M31"/>
    <mergeCell ref="R30:T31"/>
    <mergeCell ref="N25:O31"/>
    <mergeCell ref="N11:O17"/>
    <mergeCell ref="M11:M17"/>
    <mergeCell ref="A7:C7"/>
    <mergeCell ref="C25:D25"/>
    <mergeCell ref="D6:F6"/>
    <mergeCell ref="A6:C6"/>
    <mergeCell ref="K6:M6"/>
    <mergeCell ref="A25:A31"/>
    <mergeCell ref="J11:J17"/>
    <mergeCell ref="C28:D28"/>
    <mergeCell ref="C12:D12"/>
    <mergeCell ref="J18:J24"/>
    <mergeCell ref="C22:D22"/>
    <mergeCell ref="I6:J6"/>
    <mergeCell ref="C26:D26"/>
    <mergeCell ref="C13:D13"/>
    <mergeCell ref="I11:I17"/>
    <mergeCell ref="I25:I31"/>
    <mergeCell ref="P25:Q26"/>
    <mergeCell ref="R25:T26"/>
    <mergeCell ref="P18:Q19"/>
    <mergeCell ref="R23:T24"/>
    <mergeCell ref="P20:Q22"/>
    <mergeCell ref="P10:T10"/>
    <mergeCell ref="R13:T14"/>
    <mergeCell ref="P11:Q12"/>
    <mergeCell ref="R15:T17"/>
    <mergeCell ref="P23:Q24"/>
    <mergeCell ref="R6:T6"/>
    <mergeCell ref="S1:T4"/>
    <mergeCell ref="D7:F7"/>
    <mergeCell ref="R18:T19"/>
    <mergeCell ref="D8:F8"/>
    <mergeCell ref="K7:M7"/>
    <mergeCell ref="R7:T7"/>
    <mergeCell ref="L11:L17"/>
    <mergeCell ref="P15:Q17"/>
    <mergeCell ref="C16:D16"/>
    <mergeCell ref="K8:M8"/>
    <mergeCell ref="R8:T8"/>
    <mergeCell ref="A8:C8"/>
    <mergeCell ref="G18:G24"/>
    <mergeCell ref="C17:D17"/>
    <mergeCell ref="E18:F24"/>
    <mergeCell ref="C21:D21"/>
    <mergeCell ref="N10:O10"/>
    <mergeCell ref="B10:D10"/>
    <mergeCell ref="C20:D20"/>
  </mergeCells>
  <dataValidations count="5">
    <dataValidation type="list" allowBlank="1" showInputMessage="1" showErrorMessage="1" sqref="R23 R30 R15:R16">
      <formula1>"Ahorro,Corriente"</formula1>
    </dataValidation>
    <dataValidation type="list" allowBlank="1" showInputMessage="1" showErrorMessage="1" sqref="D6">
      <formula1>$W$10:$Z$10</formula1>
    </dataValidation>
    <dataValidation type="list" allowBlank="1" showInputMessage="1" showErrorMessage="1" sqref="C13:D13 C20:D20 C27:D27">
      <formula1>$W$33:$W$36</formula1>
    </dataValidation>
    <dataValidation type="list" allowBlank="1" showInputMessage="1" showErrorMessage="1" sqref="C14:D14 C21:D21 C28:D28">
      <formula1>$AE$15:$AE$18</formula1>
    </dataValidation>
    <dataValidation type="list" allowBlank="1" showInputMessage="1" showErrorMessage="1" sqref="H11:H31">
      <formula1>$AF$14:$AF$15</formula1>
    </dataValidation>
  </dataValidations>
  <printOptions horizontalCentered="1"/>
  <pageMargins left="0.3937007874015748" right="0.3937007874015748" top="0.5905511811023623" bottom="0.5905511811023623" header="0.1968503937007874" footer="0.1968503937007874"/>
  <pageSetup horizontalDpi="600" verticalDpi="600" orientation="landscape" paperSize="120" scale="73" r:id="rId4"/>
  <headerFooter>
    <oddFooter>&amp;C&amp;"Tahoma,Cursiva"&amp;10&amp;K365F91Si usted ha accedido a este formato a través de un medio diferente al sitio http://www.unicordoba.edu.co/index.php/documentossigec/documentos-calidad asegúrese que ésta es la versión vigente</oddFooter>
  </headerFooter>
  <customProperties>
    <customPr name="DVSECTIONID" r:id="rId5"/>
  </customPropertie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customProperties>
    <customPr name="DVSECTION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customProperties>
    <customPr name="DVSECTION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IV6"/>
  <sheetViews>
    <sheetView zoomScalePageLayoutView="0" workbookViewId="0" topLeftCell="A1">
      <selection activeCell="B6" sqref="B6"/>
    </sheetView>
  </sheetViews>
  <sheetFormatPr defaultColWidth="11.421875" defaultRowHeight="15"/>
  <sheetData>
    <row r="1" spans="1:256" ht="15">
      <c r="A1">
        <f>IF(Hoja1!1:1,"AAAAAH//KAA=",0)</f>
        <v>0</v>
      </c>
      <c r="B1" t="e">
        <f>AND(Hoja1!A1,"AAAAAH//KAE=")</f>
        <v>#VALUE!</v>
      </c>
      <c r="C1" t="e">
        <f>AND(Hoja1!B1,"AAAAAH//KAI=")</f>
        <v>#VALUE!</v>
      </c>
      <c r="D1" t="e">
        <f>AND(Hoja1!#REF!,"AAAAAH//KAM=")</f>
        <v>#REF!</v>
      </c>
      <c r="E1" t="e">
        <f>AND(Hoja1!C1,"AAAAAH//KAQ=")</f>
        <v>#VALUE!</v>
      </c>
      <c r="F1" t="e">
        <f>AND(Hoja1!E1,"AAAAAH//KAU=")</f>
        <v>#VALUE!</v>
      </c>
      <c r="G1" t="e">
        <f>AND(Hoja1!F1,"AAAAAH//KAY=")</f>
        <v>#VALUE!</v>
      </c>
      <c r="H1" t="e">
        <f>AND(Hoja1!G1,"AAAAAH//KAc=")</f>
        <v>#VALUE!</v>
      </c>
      <c r="I1" t="e">
        <f>AND(Hoja1!H1,"AAAAAH//KAg=")</f>
        <v>#VALUE!</v>
      </c>
      <c r="J1" t="e">
        <f>AND(Hoja1!I1,"AAAAAH//KAk=")</f>
        <v>#VALUE!</v>
      </c>
      <c r="K1" t="e">
        <f>AND(Hoja1!J1,"AAAAAH//KAo=")</f>
        <v>#VALUE!</v>
      </c>
      <c r="L1" t="e">
        <f>AND(Hoja1!K1,"AAAAAH//KAs=")</f>
        <v>#VALUE!</v>
      </c>
      <c r="M1" t="e">
        <f>AND(Hoja1!L1,"AAAAAH//KAw=")</f>
        <v>#VALUE!</v>
      </c>
      <c r="N1" t="e">
        <f>AND(Hoja1!M1,"AAAAAH//KA0=")</f>
        <v>#VALUE!</v>
      </c>
      <c r="O1" t="e">
        <f>AND(Hoja1!N1,"AAAAAH//KA4=")</f>
        <v>#VALUE!</v>
      </c>
      <c r="P1" t="e">
        <f>AND(Hoja1!O1,"AAAAAH//KA8=")</f>
        <v>#VALUE!</v>
      </c>
      <c r="Q1" t="e">
        <f>AND(Hoja1!P1,"AAAAAH//KBA=")</f>
        <v>#VALUE!</v>
      </c>
      <c r="R1" t="e">
        <f>AND(Hoja1!Q1,"AAAAAH//KBE=")</f>
        <v>#VALUE!</v>
      </c>
      <c r="S1" t="e">
        <f>AND(Hoja1!#REF!,"AAAAAH//KBI=")</f>
        <v>#REF!</v>
      </c>
      <c r="T1" t="e">
        <f>AND(Hoja1!R1,"AAAAAH//KBM=")</f>
        <v>#VALUE!</v>
      </c>
      <c r="U1" t="e">
        <f>AND(Hoja1!#REF!,"AAAAAH//KBQ=")</f>
        <v>#REF!</v>
      </c>
      <c r="V1" t="e">
        <f>AND(Hoja1!S1,"AAAAAH//KBU=")</f>
        <v>#VALUE!</v>
      </c>
      <c r="W1" t="e">
        <f>AND(Hoja1!U1,"AAAAAH//KBY=")</f>
        <v>#VALUE!</v>
      </c>
      <c r="X1">
        <f>IF(Hoja1!2:2,"AAAAAH//KBc=",0)</f>
        <v>0</v>
      </c>
      <c r="Y1" t="e">
        <f>AND(Hoja1!A2,"AAAAAH//KBg=")</f>
        <v>#VALUE!</v>
      </c>
      <c r="Z1" t="e">
        <f>AND(Hoja1!B2,"AAAAAH//KBk=")</f>
        <v>#VALUE!</v>
      </c>
      <c r="AA1" t="e">
        <f>AND(Hoja1!C2,"AAAAAH//KBo=")</f>
        <v>#VALUE!</v>
      </c>
      <c r="AB1" t="e">
        <f>AND(Hoja1!D2,"AAAAAH//KBs=")</f>
        <v>#VALUE!</v>
      </c>
      <c r="AC1" t="e">
        <f>AND(Hoja1!E2,"AAAAAH//KBw=")</f>
        <v>#VALUE!</v>
      </c>
      <c r="AD1" t="e">
        <f>AND(Hoja1!F2,"AAAAAH//KB0=")</f>
        <v>#VALUE!</v>
      </c>
      <c r="AE1" t="e">
        <f>AND(Hoja1!G2,"AAAAAH//KB4=")</f>
        <v>#VALUE!</v>
      </c>
      <c r="AF1" t="e">
        <f>AND(Hoja1!H2,"AAAAAH//KB8=")</f>
        <v>#VALUE!</v>
      </c>
      <c r="AG1" t="e">
        <f>AND(Hoja1!I2,"AAAAAH//KCA=")</f>
        <v>#VALUE!</v>
      </c>
      <c r="AH1" t="e">
        <f>AND(Hoja1!J2,"AAAAAH//KCE=")</f>
        <v>#VALUE!</v>
      </c>
      <c r="AI1" t="e">
        <f>AND(Hoja1!K2,"AAAAAH//KCI=")</f>
        <v>#VALUE!</v>
      </c>
      <c r="AJ1" t="e">
        <f>AND(Hoja1!L2,"AAAAAH//KCM=")</f>
        <v>#VALUE!</v>
      </c>
      <c r="AK1" t="e">
        <f>AND(Hoja1!M2,"AAAAAH//KCQ=")</f>
        <v>#VALUE!</v>
      </c>
      <c r="AL1" t="e">
        <f>AND(Hoja1!N2,"AAAAAH//KCU=")</f>
        <v>#VALUE!</v>
      </c>
      <c r="AM1" t="e">
        <f>AND(Hoja1!O2,"AAAAAH//KCY=")</f>
        <v>#VALUE!</v>
      </c>
      <c r="AN1" t="e">
        <f>AND(Hoja1!P2,"AAAAAH//KCc=")</f>
        <v>#VALUE!</v>
      </c>
      <c r="AO1" t="e">
        <f>AND(Hoja1!Q2,"AAAAAH//KCg=")</f>
        <v>#VALUE!</v>
      </c>
      <c r="AP1" t="e">
        <f>AND(Hoja1!#REF!,"AAAAAH//KCk=")</f>
        <v>#REF!</v>
      </c>
      <c r="AQ1" t="e">
        <f>AND(Hoja1!R2,"AAAAAH//KCo=")</f>
        <v>#VALUE!</v>
      </c>
      <c r="AR1" t="e">
        <f>AND(Hoja1!S2,"AAAAAH//KCs=")</f>
        <v>#VALUE!</v>
      </c>
      <c r="AS1" t="e">
        <f>AND(Hoja1!T2,"AAAAAH//KCw=")</f>
        <v>#VALUE!</v>
      </c>
      <c r="AT1" t="e">
        <f>AND(Hoja1!U2,"AAAAAH//KC0=")</f>
        <v>#VALUE!</v>
      </c>
      <c r="AU1">
        <f>IF(Hoja1!3:3,"AAAAAH//KC4=",0)</f>
        <v>0</v>
      </c>
      <c r="AV1" t="e">
        <f>AND(Hoja1!A3,"AAAAAH//KC8=")</f>
        <v>#VALUE!</v>
      </c>
      <c r="AW1" t="e">
        <f>AND(Hoja1!B3,"AAAAAH//KDA=")</f>
        <v>#VALUE!</v>
      </c>
      <c r="AX1" t="e">
        <f>AND(Hoja1!#REF!,"AAAAAH//KDE=")</f>
        <v>#REF!</v>
      </c>
      <c r="AY1" t="e">
        <f>AND(Hoja1!C3,"AAAAAH//KDI=")</f>
        <v>#VALUE!</v>
      </c>
      <c r="AZ1" t="e">
        <f>AND(Hoja1!E3,"AAAAAH//KDM=")</f>
        <v>#VALUE!</v>
      </c>
      <c r="BA1" t="e">
        <f>AND(Hoja1!F3,"AAAAAH//KDQ=")</f>
        <v>#VALUE!</v>
      </c>
      <c r="BB1" t="e">
        <f>AND(Hoja1!G3,"AAAAAH//KDU=")</f>
        <v>#VALUE!</v>
      </c>
      <c r="BC1" t="e">
        <f>AND(Hoja1!H3,"AAAAAH//KDY=")</f>
        <v>#VALUE!</v>
      </c>
      <c r="BD1" t="e">
        <f>AND(Hoja1!I3,"AAAAAH//KDc=")</f>
        <v>#VALUE!</v>
      </c>
      <c r="BE1" t="e">
        <f>AND(Hoja1!J3,"AAAAAH//KDg=")</f>
        <v>#VALUE!</v>
      </c>
      <c r="BF1" t="e">
        <f>AND(Hoja1!K3,"AAAAAH//KDk=")</f>
        <v>#VALUE!</v>
      </c>
      <c r="BG1" t="e">
        <f>AND(Hoja1!L3,"AAAAAH//KDo=")</f>
        <v>#VALUE!</v>
      </c>
      <c r="BH1" t="e">
        <f>AND(Hoja1!M3,"AAAAAH//KDs=")</f>
        <v>#VALUE!</v>
      </c>
      <c r="BI1" t="e">
        <f>AND(Hoja1!N3,"AAAAAH//KDw=")</f>
        <v>#VALUE!</v>
      </c>
      <c r="BJ1" t="e">
        <f>AND(Hoja1!O3,"AAAAAH//KD0=")</f>
        <v>#VALUE!</v>
      </c>
      <c r="BK1" t="e">
        <f>AND(Hoja1!P3,"AAAAAH//KD4=")</f>
        <v>#VALUE!</v>
      </c>
      <c r="BL1" t="e">
        <f>AND(Hoja1!Q3,"AAAAAH//KD8=")</f>
        <v>#VALUE!</v>
      </c>
      <c r="BM1" t="e">
        <f>AND(Hoja1!#REF!,"AAAAAH//KEA=")</f>
        <v>#REF!</v>
      </c>
      <c r="BN1" t="e">
        <f>AND(Hoja1!R3,"AAAAAH//KEE=")</f>
        <v>#VALUE!</v>
      </c>
      <c r="BO1" t="e">
        <f>AND(Hoja1!S3,"AAAAAH//KEI=")</f>
        <v>#VALUE!</v>
      </c>
      <c r="BP1" t="e">
        <f>AND(Hoja1!T3,"AAAAAH//KEM=")</f>
        <v>#VALUE!</v>
      </c>
      <c r="BQ1" t="e">
        <f>AND(Hoja1!U3,"AAAAAH//KEQ=")</f>
        <v>#VALUE!</v>
      </c>
      <c r="BR1">
        <f>IF(Hoja1!4:4,"AAAAAH//KEU=",0)</f>
        <v>0</v>
      </c>
      <c r="BS1" t="e">
        <f>AND(Hoja1!A4,"AAAAAH//KEY=")</f>
        <v>#VALUE!</v>
      </c>
      <c r="BT1" t="e">
        <f>AND(Hoja1!B4,"AAAAAH//KEc=")</f>
        <v>#VALUE!</v>
      </c>
      <c r="BU1" t="e">
        <f>AND(Hoja1!C4,"AAAAAH//KEg=")</f>
        <v>#VALUE!</v>
      </c>
      <c r="BV1" t="e">
        <f>AND(Hoja1!D4,"AAAAAH//KEk=")</f>
        <v>#VALUE!</v>
      </c>
      <c r="BW1" t="e">
        <f>AND(Hoja1!E4,"AAAAAH//KEo=")</f>
        <v>#VALUE!</v>
      </c>
      <c r="BX1" t="e">
        <f>AND(Hoja1!F4,"AAAAAH//KEs=")</f>
        <v>#VALUE!</v>
      </c>
      <c r="BY1" t="e">
        <f>AND(Hoja1!G4,"AAAAAH//KEw=")</f>
        <v>#VALUE!</v>
      </c>
      <c r="BZ1" t="e">
        <f>AND(Hoja1!H4,"AAAAAH//KE0=")</f>
        <v>#VALUE!</v>
      </c>
      <c r="CA1" t="e">
        <f>AND(Hoja1!I4,"AAAAAH//KE4=")</f>
        <v>#VALUE!</v>
      </c>
      <c r="CB1" t="e">
        <f>AND(Hoja1!J4,"AAAAAH//KE8=")</f>
        <v>#VALUE!</v>
      </c>
      <c r="CC1" t="e">
        <f>AND(Hoja1!K4,"AAAAAH//KFA=")</f>
        <v>#VALUE!</v>
      </c>
      <c r="CD1" t="e">
        <f>AND(Hoja1!L4,"AAAAAH//KFE=")</f>
        <v>#VALUE!</v>
      </c>
      <c r="CE1" t="e">
        <f>AND(Hoja1!M4,"AAAAAH//KFI=")</f>
        <v>#VALUE!</v>
      </c>
      <c r="CF1" t="e">
        <f>AND(Hoja1!N4,"AAAAAH//KFM=")</f>
        <v>#VALUE!</v>
      </c>
      <c r="CG1" t="e">
        <f>AND(Hoja1!O4,"AAAAAH//KFQ=")</f>
        <v>#VALUE!</v>
      </c>
      <c r="CH1" t="e">
        <f>AND(Hoja1!P4,"AAAAAH//KFU=")</f>
        <v>#VALUE!</v>
      </c>
      <c r="CI1" t="e">
        <f>AND(Hoja1!Q4,"AAAAAH//KFY=")</f>
        <v>#VALUE!</v>
      </c>
      <c r="CJ1" t="e">
        <f>AND(Hoja1!#REF!,"AAAAAH//KFc=")</f>
        <v>#REF!</v>
      </c>
      <c r="CK1" t="e">
        <f>AND(Hoja1!R4,"AAAAAH//KFg=")</f>
        <v>#VALUE!</v>
      </c>
      <c r="CL1" t="e">
        <f>AND(Hoja1!S4,"AAAAAH//KFk=")</f>
        <v>#VALUE!</v>
      </c>
      <c r="CM1" t="e">
        <f>AND(Hoja1!T4,"AAAAAH//KFo=")</f>
        <v>#VALUE!</v>
      </c>
      <c r="CN1" t="e">
        <f>AND(Hoja1!U4,"AAAAAH//KFs=")</f>
        <v>#VALUE!</v>
      </c>
      <c r="CO1">
        <f>IF(Hoja1!5:5,"AAAAAH//KFw=",0)</f>
        <v>0</v>
      </c>
      <c r="CP1" t="e">
        <f>AND(Hoja1!A5,"AAAAAH//KF0=")</f>
        <v>#VALUE!</v>
      </c>
      <c r="CQ1" t="e">
        <f>AND(Hoja1!B5,"AAAAAH//KF4=")</f>
        <v>#VALUE!</v>
      </c>
      <c r="CR1" t="e">
        <f>AND(Hoja1!C5,"AAAAAH//KF8=")</f>
        <v>#VALUE!</v>
      </c>
      <c r="CS1" t="e">
        <f>AND(Hoja1!D5,"AAAAAH//KGA=")</f>
        <v>#VALUE!</v>
      </c>
      <c r="CT1" t="e">
        <f>AND(Hoja1!E5,"AAAAAH//KGE=")</f>
        <v>#VALUE!</v>
      </c>
      <c r="CU1" t="e">
        <f>AND(Hoja1!F5,"AAAAAH//KGI=")</f>
        <v>#VALUE!</v>
      </c>
      <c r="CV1" t="e">
        <f>AND(Hoja1!V6,"AAAAAH//KGM=")</f>
        <v>#VALUE!</v>
      </c>
      <c r="CW1" t="e">
        <f>AND(Hoja1!H5,"AAAAAH//KGQ=")</f>
        <v>#VALUE!</v>
      </c>
      <c r="CX1" t="e">
        <f>AND(Hoja1!I5,"AAAAAH//KGU=")</f>
        <v>#VALUE!</v>
      </c>
      <c r="CY1" t="e">
        <f>AND(Hoja1!J5,"AAAAAH//KGY=")</f>
        <v>#VALUE!</v>
      </c>
      <c r="CZ1" t="e">
        <f>AND(Hoja1!K5,"AAAAAH//KGc=")</f>
        <v>#VALUE!</v>
      </c>
      <c r="DA1" t="e">
        <f>AND(Hoja1!L5,"AAAAAH//KGg=")</f>
        <v>#VALUE!</v>
      </c>
      <c r="DB1" t="e">
        <f>AND(Hoja1!M5,"AAAAAH//KGk=")</f>
        <v>#VALUE!</v>
      </c>
      <c r="DC1" t="e">
        <f>AND(Hoja1!N5,"AAAAAH//KGo=")</f>
        <v>#VALUE!</v>
      </c>
      <c r="DD1" t="e">
        <f>AND(Hoja1!O5,"AAAAAH//KGs=")</f>
        <v>#VALUE!</v>
      </c>
      <c r="DE1" t="e">
        <f>AND(Hoja1!P5,"AAAAAH//KGw=")</f>
        <v>#VALUE!</v>
      </c>
      <c r="DF1" t="e">
        <f>AND(Hoja1!Q5,"AAAAAH//KG0=")</f>
        <v>#VALUE!</v>
      </c>
      <c r="DG1" t="e">
        <f>AND(Hoja1!#REF!,"AAAAAH//KG4=")</f>
        <v>#REF!</v>
      </c>
      <c r="DH1" t="e">
        <f>AND(Hoja1!R5,"AAAAAH//KG8=")</f>
        <v>#VALUE!</v>
      </c>
      <c r="DI1" t="e">
        <f>AND(Hoja1!S5,"AAAAAH//KHA=")</f>
        <v>#VALUE!</v>
      </c>
      <c r="DJ1" t="e">
        <f>AND(Hoja1!T5,"AAAAAH//KHE=")</f>
        <v>#VALUE!</v>
      </c>
      <c r="DK1" t="e">
        <f>AND(Hoja1!U5,"AAAAAH//KHI=")</f>
        <v>#VALUE!</v>
      </c>
      <c r="DL1">
        <f>IF(Hoja1!6:6,"AAAAAH//KHM=",0)</f>
        <v>0</v>
      </c>
      <c r="DM1" t="e">
        <f>AND(Hoja1!A6,"AAAAAH//KHQ=")</f>
        <v>#VALUE!</v>
      </c>
      <c r="DN1" t="e">
        <f>AND(Hoja1!B6,"AAAAAH//KHU=")</f>
        <v>#VALUE!</v>
      </c>
      <c r="DO1" t="e">
        <f>AND(Hoja1!C6,"AAAAAH//KHY=")</f>
        <v>#VALUE!</v>
      </c>
      <c r="DP1" t="e">
        <f>AND(Hoja1!D6,"AAAAAH//KHc=")</f>
        <v>#VALUE!</v>
      </c>
      <c r="DQ1" t="e">
        <f>AND(Hoja1!E6,"AAAAAH//KHg=")</f>
        <v>#VALUE!</v>
      </c>
      <c r="DR1" t="e">
        <f>AND(Hoja1!F6,"AAAAAH//KHk=")</f>
        <v>#VALUE!</v>
      </c>
      <c r="DS1" t="e">
        <f>AND(Hoja1!#REF!,"AAAAAH//KHo=")</f>
        <v>#REF!</v>
      </c>
      <c r="DT1" t="e">
        <f>AND(Hoja1!#REF!,"AAAAAH//KHs=")</f>
        <v>#REF!</v>
      </c>
      <c r="DU1" t="e">
        <f>AND(Hoja1!#REF!,"AAAAAH//KHw=")</f>
        <v>#REF!</v>
      </c>
      <c r="DV1" t="e">
        <f>AND(Hoja1!#REF!,"AAAAAH//KH0=")</f>
        <v>#REF!</v>
      </c>
      <c r="DW1" t="e">
        <f>AND(Hoja1!K6,"AAAAAH//KH4=")</f>
        <v>#VALUE!</v>
      </c>
      <c r="DX1" t="e">
        <f>AND(Hoja1!#REF!,"AAAAAH//KH8=")</f>
        <v>#REF!</v>
      </c>
      <c r="DY1" t="e">
        <f>AND(Hoja1!#REF!,"AAAAAH//KIA=")</f>
        <v>#REF!</v>
      </c>
      <c r="DZ1" t="e">
        <f>AND(Hoja1!#REF!,"AAAAAH//KIE=")</f>
        <v>#REF!</v>
      </c>
      <c r="EA1" t="e">
        <f>AND(Hoja1!#REF!,"AAAAAH//KII=")</f>
        <v>#REF!</v>
      </c>
      <c r="EB1" t="e">
        <f>AND(Hoja1!#REF!,"AAAAAH//KIM=")</f>
        <v>#REF!</v>
      </c>
      <c r="EC1" t="e">
        <f>AND(Hoja1!L7,"AAAAAH//KIQ=")</f>
        <v>#VALUE!</v>
      </c>
      <c r="ED1" t="e">
        <f>AND(Hoja1!#REF!,"AAAAAH//KIU=")</f>
        <v>#REF!</v>
      </c>
      <c r="EE1" t="e">
        <f>AND(Hoja1!#REF!,"AAAAAH//KIY=")</f>
        <v>#REF!</v>
      </c>
      <c r="EF1" t="e">
        <f>AND(Hoja1!#REF!,"AAAAAH//KIc=")</f>
        <v>#REF!</v>
      </c>
      <c r="EG1" t="e">
        <f>AND(Hoja1!T6,"AAAAAH//KIg=")</f>
        <v>#VALUE!</v>
      </c>
      <c r="EH1" t="e">
        <f>AND(Hoja1!U6,"AAAAAH//KIk=")</f>
        <v>#VALUE!</v>
      </c>
      <c r="EI1">
        <f>IF(Hoja1!7:7,"AAAAAH//KIo=",0)</f>
        <v>0</v>
      </c>
      <c r="EJ1" t="e">
        <f>AND(Hoja1!A7,"AAAAAH//KIs=")</f>
        <v>#VALUE!</v>
      </c>
      <c r="EK1" t="e">
        <f>AND(Hoja1!B7,"AAAAAH//KIw=")</f>
        <v>#VALUE!</v>
      </c>
      <c r="EL1" t="e">
        <f>AND(Hoja1!C7,"AAAAAH//KI0=")</f>
        <v>#VALUE!</v>
      </c>
      <c r="EM1" t="e">
        <f>AND(Hoja1!D7,"AAAAAH//KI4=")</f>
        <v>#VALUE!</v>
      </c>
      <c r="EN1" t="e">
        <f>AND(Hoja1!E7,"AAAAAH//KI8=")</f>
        <v>#VALUE!</v>
      </c>
      <c r="EO1" t="e">
        <f>AND(Hoja1!F7,"AAAAAH//KJA=")</f>
        <v>#VALUE!</v>
      </c>
      <c r="EP1" t="e">
        <f>AND(Hoja1!N6,"AAAAAH//KJE=")</f>
        <v>#VALUE!</v>
      </c>
      <c r="EQ1" t="e">
        <f>AND(Hoja1!#REF!,"AAAAAH//KJI=")</f>
        <v>#REF!</v>
      </c>
      <c r="ER1" t="e">
        <f>AND(Hoja1!#REF!,"AAAAAH//KJM=")</f>
        <v>#REF!</v>
      </c>
      <c r="ES1" t="e">
        <f>AND(Hoja1!#REF!,"AAAAAH//KJQ=")</f>
        <v>#REF!</v>
      </c>
      <c r="ET1" t="e">
        <f>AND(Hoja1!K7,"AAAAAH//KJU=")</f>
        <v>#VALUE!</v>
      </c>
      <c r="EU1" t="e">
        <f>AND(Hoja1!#REF!,"AAAAAH//KJY=")</f>
        <v>#REF!</v>
      </c>
      <c r="EV1" t="e">
        <f>AND(Hoja1!L8,"AAAAAH//KJc=")</f>
        <v>#VALUE!</v>
      </c>
      <c r="EW1" t="e">
        <f>AND(Hoja1!#REF!,"AAAAAH//KJg=")</f>
        <v>#REF!</v>
      </c>
      <c r="EX1" t="e">
        <f>AND(Hoja1!#REF!,"AAAAAH//KJk=")</f>
        <v>#REF!</v>
      </c>
      <c r="EY1" t="e">
        <f>AND(Hoja1!I7,"AAAAAH//KJo=")</f>
        <v>#VALUE!</v>
      </c>
      <c r="EZ1" t="e">
        <f>AND(Hoja1!#REF!,"AAAAAH//KJs=")</f>
        <v>#REF!</v>
      </c>
      <c r="FA1" t="e">
        <f>AND(Hoja1!#REF!,"AAAAAH//KJw=")</f>
        <v>#REF!</v>
      </c>
      <c r="FB1" t="e">
        <f>AND(Hoja1!R7,"AAAAAH//KJ0=")</f>
        <v>#VALUE!</v>
      </c>
      <c r="FC1" t="e">
        <f>AND(Hoja1!S7,"AAAAAH//KJ4=")</f>
        <v>#VALUE!</v>
      </c>
      <c r="FD1" t="e">
        <f>AND(Hoja1!T7,"AAAAAH//KJ8=")</f>
        <v>#VALUE!</v>
      </c>
      <c r="FE1" t="e">
        <f>AND(Hoja1!U7,"AAAAAH//KKA=")</f>
        <v>#VALUE!</v>
      </c>
      <c r="FF1">
        <f>IF(Hoja1!8:8,"AAAAAH//KKE=",0)</f>
        <v>0</v>
      </c>
      <c r="FG1" t="e">
        <f>AND(Hoja1!A8,"AAAAAH//KKI=")</f>
        <v>#VALUE!</v>
      </c>
      <c r="FH1" t="e">
        <f>AND(Hoja1!B8,"AAAAAH//KKM=")</f>
        <v>#VALUE!</v>
      </c>
      <c r="FI1" t="e">
        <f>AND(Hoja1!C8,"AAAAAH//KKQ=")</f>
        <v>#VALUE!</v>
      </c>
      <c r="FJ1" t="e">
        <f>AND(Hoja1!D8,"AAAAAH//KKU=")</f>
        <v>#VALUE!</v>
      </c>
      <c r="FK1" t="e">
        <f>AND(Hoja1!E8,"AAAAAH//KKY=")</f>
        <v>#VALUE!</v>
      </c>
      <c r="FL1" t="e">
        <f>AND(Hoja1!F8,"AAAAAH//KKc=")</f>
        <v>#VALUE!</v>
      </c>
      <c r="FM1" t="e">
        <f>AND(Hoja1!I6,"AAAAAH//KKg=")</f>
        <v>#VALUE!</v>
      </c>
      <c r="FN1" t="e">
        <f>AND(Hoja1!J6,"AAAAAH//KKk=")</f>
        <v>#VALUE!</v>
      </c>
      <c r="FO1" t="e">
        <f>AND(Hoja1!#REF!,"AAAAAH//KKo=")</f>
        <v>#REF!</v>
      </c>
      <c r="FP1" t="e">
        <f>AND(Hoja1!#REF!,"AAAAAH//KKs=")</f>
        <v>#REF!</v>
      </c>
      <c r="FQ1" t="e">
        <f>AND(Hoja1!#REF!,"AAAAAH//KKw=")</f>
        <v>#REF!</v>
      </c>
      <c r="FR1" t="e">
        <f>AND(Hoja1!#REF!,"AAAAAH//KK0=")</f>
        <v>#REF!</v>
      </c>
      <c r="FS1" t="e">
        <f>AND(Hoja1!#REF!,"AAAAAH//KK4=")</f>
        <v>#REF!</v>
      </c>
      <c r="FT1" t="e">
        <f>AND(Hoja1!#REF!,"AAAAAH//KK8=")</f>
        <v>#REF!</v>
      </c>
      <c r="FU1" t="e">
        <f>AND(Hoja1!#REF!,"AAAAAH//KLA=")</f>
        <v>#REF!</v>
      </c>
      <c r="FV1" t="e">
        <f>AND(Hoja1!#REF!,"AAAAAH//KLE=")</f>
        <v>#REF!</v>
      </c>
      <c r="FW1" t="e">
        <f>AND(Hoja1!#REF!,"AAAAAH//KLI=")</f>
        <v>#REF!</v>
      </c>
      <c r="FX1" t="e">
        <f>AND(Hoja1!#REF!,"AAAAAH//KLM=")</f>
        <v>#REF!</v>
      </c>
      <c r="FY1" t="e">
        <f>AND(Hoja1!#REF!,"AAAAAH//KLQ=")</f>
        <v>#REF!</v>
      </c>
      <c r="FZ1" t="e">
        <f>AND(Hoja1!S8,"AAAAAH//KLU=")</f>
        <v>#VALUE!</v>
      </c>
      <c r="GA1" t="e">
        <f>AND(Hoja1!T8,"AAAAAH//KLY=")</f>
        <v>#VALUE!</v>
      </c>
      <c r="GB1" t="e">
        <f>AND(Hoja1!U8,"AAAAAH//KLc=")</f>
        <v>#VALUE!</v>
      </c>
      <c r="GC1">
        <f>IF(Hoja1!9:9,"AAAAAH//KLg=",0)</f>
        <v>0</v>
      </c>
      <c r="GD1" t="e">
        <f>AND(Hoja1!A9,"AAAAAH//KLk=")</f>
        <v>#VALUE!</v>
      </c>
      <c r="GE1" t="e">
        <f>AND(Hoja1!B9,"AAAAAH//KLo=")</f>
        <v>#VALUE!</v>
      </c>
      <c r="GF1" t="e">
        <f>AND(Hoja1!C9,"AAAAAH//KLs=")</f>
        <v>#VALUE!</v>
      </c>
      <c r="GG1" t="e">
        <f>AND(Hoja1!D9,"AAAAAH//KLw=")</f>
        <v>#VALUE!</v>
      </c>
      <c r="GH1" t="e">
        <f>AND(Hoja1!E9,"AAAAAH//KL0=")</f>
        <v>#VALUE!</v>
      </c>
      <c r="GI1" t="e">
        <f>AND(Hoja1!F9,"AAAAAH//KL4=")</f>
        <v>#VALUE!</v>
      </c>
      <c r="GJ1" t="e">
        <f>AND(Hoja1!G9,"AAAAAH//KL8=")</f>
        <v>#VALUE!</v>
      </c>
      <c r="GK1" t="e">
        <f>AND(Hoja1!H9,"AAAAAH//KMA=")</f>
        <v>#VALUE!</v>
      </c>
      <c r="GL1" t="e">
        <f>AND(Hoja1!I9,"AAAAAH//KME=")</f>
        <v>#VALUE!</v>
      </c>
      <c r="GM1" t="e">
        <f>AND(Hoja1!J9,"AAAAAH//KMI=")</f>
        <v>#VALUE!</v>
      </c>
      <c r="GN1" t="e">
        <f>AND(Hoja1!K9,"AAAAAH//KMM=")</f>
        <v>#VALUE!</v>
      </c>
      <c r="GO1" t="e">
        <f>AND(Hoja1!L9,"AAAAAH//KMQ=")</f>
        <v>#VALUE!</v>
      </c>
      <c r="GP1" t="e">
        <f>AND(Hoja1!M9,"AAAAAH//KMU=")</f>
        <v>#VALUE!</v>
      </c>
      <c r="GQ1" t="e">
        <f>AND(Hoja1!N9,"AAAAAH//KMY=")</f>
        <v>#VALUE!</v>
      </c>
      <c r="GR1" t="e">
        <f>AND(Hoja1!O9,"AAAAAH//KMc=")</f>
        <v>#VALUE!</v>
      </c>
      <c r="GS1" t="e">
        <f>AND(Hoja1!P9,"AAAAAH//KMg=")</f>
        <v>#VALUE!</v>
      </c>
      <c r="GT1" t="e">
        <f>AND(Hoja1!Q9,"AAAAAH//KMk=")</f>
        <v>#VALUE!</v>
      </c>
      <c r="GU1" t="e">
        <f>AND(Hoja1!#REF!,"AAAAAH//KMo=")</f>
        <v>#REF!</v>
      </c>
      <c r="GV1" t="e">
        <f>AND(Hoja1!R9,"AAAAAH//KMs=")</f>
        <v>#VALUE!</v>
      </c>
      <c r="GW1" t="e">
        <f>AND(Hoja1!S9,"AAAAAH//KMw=")</f>
        <v>#VALUE!</v>
      </c>
      <c r="GX1" t="e">
        <f>AND(Hoja1!T9,"AAAAAH//KM0=")</f>
        <v>#VALUE!</v>
      </c>
      <c r="GY1" t="e">
        <f>AND(Hoja1!U9,"AAAAAH//KM4=")</f>
        <v>#VALUE!</v>
      </c>
      <c r="GZ1" t="e">
        <f>IF(Hoja1!#REF!,"AAAAAH//KM8=",0)</f>
        <v>#REF!</v>
      </c>
      <c r="HA1" t="e">
        <f>AND(Hoja1!#REF!,"AAAAAH//KNA=")</f>
        <v>#REF!</v>
      </c>
      <c r="HB1" t="e">
        <f>AND(Hoja1!#REF!,"AAAAAH//KNE=")</f>
        <v>#REF!</v>
      </c>
      <c r="HC1" t="e">
        <f>AND(Hoja1!#REF!,"AAAAAH//KNI=")</f>
        <v>#REF!</v>
      </c>
      <c r="HD1" t="e">
        <f>AND(Hoja1!#REF!,"AAAAAH//KNM=")</f>
        <v>#REF!</v>
      </c>
      <c r="HE1" t="e">
        <f>AND(Hoja1!#REF!,"AAAAAH//KNQ=")</f>
        <v>#REF!</v>
      </c>
      <c r="HF1" t="e">
        <f>AND(Hoja1!#REF!,"AAAAAH//KNU=")</f>
        <v>#REF!</v>
      </c>
      <c r="HG1" t="e">
        <f>AND(Hoja1!#REF!,"AAAAAH//KNY=")</f>
        <v>#REF!</v>
      </c>
      <c r="HH1" t="e">
        <f>AND(Hoja1!#REF!,"AAAAAH//KNc=")</f>
        <v>#REF!</v>
      </c>
      <c r="HI1" t="e">
        <f>AND(Hoja1!#REF!,"AAAAAH//KNg=")</f>
        <v>#REF!</v>
      </c>
      <c r="HJ1" t="e">
        <f>AND(Hoja1!#REF!,"AAAAAH//KNk=")</f>
        <v>#REF!</v>
      </c>
      <c r="HK1" t="e">
        <f>AND(Hoja1!#REF!,"AAAAAH//KNo=")</f>
        <v>#REF!</v>
      </c>
      <c r="HL1" t="e">
        <f>AND(Hoja1!#REF!,"AAAAAH//KNs=")</f>
        <v>#REF!</v>
      </c>
      <c r="HM1" t="e">
        <f>AND(Hoja1!#REF!,"AAAAAH//KNw=")</f>
        <v>#REF!</v>
      </c>
      <c r="HN1" t="e">
        <f>AND(Hoja1!#REF!,"AAAAAH//KN0=")</f>
        <v>#REF!</v>
      </c>
      <c r="HO1" t="e">
        <f>AND(Hoja1!#REF!,"AAAAAH//KN4=")</f>
        <v>#REF!</v>
      </c>
      <c r="HP1" t="e">
        <f>AND(Hoja1!#REF!,"AAAAAH//KN8=")</f>
        <v>#REF!</v>
      </c>
      <c r="HQ1" t="e">
        <f>AND(Hoja1!#REF!,"AAAAAH//KOA=")</f>
        <v>#REF!</v>
      </c>
      <c r="HR1" t="e">
        <f>AND(Hoja1!#REF!,"AAAAAH//KOE=")</f>
        <v>#REF!</v>
      </c>
      <c r="HS1" t="e">
        <f>AND(Hoja1!#REF!,"AAAAAH//KOI=")</f>
        <v>#REF!</v>
      </c>
      <c r="HT1" t="e">
        <f>AND(Hoja1!#REF!,"AAAAAH//KOM=")</f>
        <v>#REF!</v>
      </c>
      <c r="HU1" t="e">
        <f>AND(Hoja1!#REF!,"AAAAAH//KOQ=")</f>
        <v>#REF!</v>
      </c>
      <c r="HV1" t="e">
        <f>AND(Hoja1!#REF!,"AAAAAH//KOU=")</f>
        <v>#REF!</v>
      </c>
      <c r="HW1">
        <f>IF(Hoja1!10:10,"AAAAAH//KOY=",0)</f>
        <v>0</v>
      </c>
      <c r="HX1" t="e">
        <f>AND(Hoja1!A10,"AAAAAH//KOc=")</f>
        <v>#VALUE!</v>
      </c>
      <c r="HY1" t="e">
        <f>AND(Hoja1!B10,"AAAAAH//KOg=")</f>
        <v>#VALUE!</v>
      </c>
      <c r="HZ1" t="e">
        <f>AND(Hoja1!C10,"AAAAAH//KOk=")</f>
        <v>#VALUE!</v>
      </c>
      <c r="IA1" t="e">
        <f>AND(Hoja1!D10,"AAAAAH//KOo=")</f>
        <v>#VALUE!</v>
      </c>
      <c r="IB1" t="e">
        <f>AND(Hoja1!E10,"AAAAAH//KOs=")</f>
        <v>#VALUE!</v>
      </c>
      <c r="IC1" t="e">
        <f>AND(Hoja1!F10,"AAAAAH//KOw=")</f>
        <v>#VALUE!</v>
      </c>
      <c r="ID1" t="e">
        <f>AND(Hoja1!G10,"AAAAAH//KO0=")</f>
        <v>#VALUE!</v>
      </c>
      <c r="IE1" t="e">
        <f>AND(Hoja1!H10,"AAAAAH//KO4=")</f>
        <v>#VALUE!</v>
      </c>
      <c r="IF1" t="e">
        <f>AND(Hoja1!I10,"AAAAAH//KO8=")</f>
        <v>#VALUE!</v>
      </c>
      <c r="IG1" t="e">
        <f>AND(Hoja1!J10,"AAAAAH//KPA=")</f>
        <v>#VALUE!</v>
      </c>
      <c r="IH1" t="e">
        <f>AND(Hoja1!K10,"AAAAAH//KPE=")</f>
        <v>#VALUE!</v>
      </c>
      <c r="II1" t="e">
        <f>AND(Hoja1!L10,"AAAAAH//KPI=")</f>
        <v>#VALUE!</v>
      </c>
      <c r="IJ1" t="e">
        <f>AND(Hoja1!M10,"AAAAAH//KPM=")</f>
        <v>#VALUE!</v>
      </c>
      <c r="IK1" t="e">
        <f>AND(Hoja1!N10,"AAAAAH//KPQ=")</f>
        <v>#VALUE!</v>
      </c>
      <c r="IL1" t="e">
        <f>AND(Hoja1!O10,"AAAAAH//KPU=")</f>
        <v>#VALUE!</v>
      </c>
      <c r="IM1" t="e">
        <f>AND(Hoja1!P10,"AAAAAH//KPY=")</f>
        <v>#VALUE!</v>
      </c>
      <c r="IN1" t="e">
        <f>AND(Hoja1!Q10,"AAAAAH//KPc=")</f>
        <v>#VALUE!</v>
      </c>
      <c r="IO1" t="e">
        <f>AND(Hoja1!#REF!,"AAAAAH//KPg=")</f>
        <v>#REF!</v>
      </c>
      <c r="IP1" t="e">
        <f>AND(Hoja1!R10,"AAAAAH//KPk=")</f>
        <v>#VALUE!</v>
      </c>
      <c r="IQ1" t="e">
        <f>AND(Hoja1!S10,"AAAAAH//KPo=")</f>
        <v>#VALUE!</v>
      </c>
      <c r="IR1" t="e">
        <f>AND(Hoja1!T10,"AAAAAH//KPs=")</f>
        <v>#VALUE!</v>
      </c>
      <c r="IS1" t="e">
        <f>AND(Hoja1!U10,"AAAAAH//KPw=")</f>
        <v>#VALUE!</v>
      </c>
      <c r="IT1">
        <f>IF(Hoja1!11:11,"AAAAAH//KP0=",0)</f>
        <v>0</v>
      </c>
      <c r="IU1" t="e">
        <f>AND(Hoja1!A11,"AAAAAH//KP4=")</f>
        <v>#VALUE!</v>
      </c>
      <c r="IV1" t="e">
        <f>AND(Hoja1!B11,"AAAAAH//KP8=")</f>
        <v>#VALUE!</v>
      </c>
    </row>
    <row r="2" spans="1:256" ht="15">
      <c r="A2" t="e">
        <f>AND(Hoja1!C11,"AAAAAH99nQA=")</f>
        <v>#VALUE!</v>
      </c>
      <c r="B2" t="e">
        <f>AND(Hoja1!D11,"AAAAAH99nQE=")</f>
        <v>#VALUE!</v>
      </c>
      <c r="C2" t="e">
        <f>AND(Hoja1!E11,"AAAAAH99nQI=")</f>
        <v>#VALUE!</v>
      </c>
      <c r="D2" t="e">
        <f>AND(Hoja1!F11,"AAAAAH99nQM=")</f>
        <v>#VALUE!</v>
      </c>
      <c r="E2" t="e">
        <f>AND(Hoja1!G11,"AAAAAH99nQQ=")</f>
        <v>#VALUE!</v>
      </c>
      <c r="F2" t="e">
        <f>AND(Hoja1!H11,"AAAAAH99nQU=")</f>
        <v>#VALUE!</v>
      </c>
      <c r="G2" t="e">
        <f>AND(Hoja1!I11,"AAAAAH99nQY=")</f>
        <v>#VALUE!</v>
      </c>
      <c r="H2" t="e">
        <f>AND(Hoja1!J11,"AAAAAH99nQc=")</f>
        <v>#VALUE!</v>
      </c>
      <c r="I2" t="e">
        <f>AND(Hoja1!K11,"AAAAAH99nQg=")</f>
        <v>#VALUE!</v>
      </c>
      <c r="J2" t="e">
        <f>AND(Hoja1!L11,"AAAAAH99nQk=")</f>
        <v>#VALUE!</v>
      </c>
      <c r="K2" t="e">
        <f>AND(Hoja1!M11,"AAAAAH99nQo=")</f>
        <v>#VALUE!</v>
      </c>
      <c r="L2" t="e">
        <f>AND(Hoja1!N11,"AAAAAH99nQs=")</f>
        <v>#VALUE!</v>
      </c>
      <c r="M2" t="e">
        <f>AND(Hoja1!O11,"AAAAAH99nQw=")</f>
        <v>#VALUE!</v>
      </c>
      <c r="N2" t="e">
        <f>AND(Hoja1!P11,"AAAAAH99nQ0=")</f>
        <v>#VALUE!</v>
      </c>
      <c r="O2" t="e">
        <f>AND(Hoja1!Q11,"AAAAAH99nQ4=")</f>
        <v>#VALUE!</v>
      </c>
      <c r="P2" t="e">
        <f>AND(Hoja1!#REF!,"AAAAAH99nQ8=")</f>
        <v>#REF!</v>
      </c>
      <c r="Q2" t="e">
        <f>AND(Hoja1!R11,"AAAAAH99nRA=")</f>
        <v>#VALUE!</v>
      </c>
      <c r="R2" t="e">
        <f>AND(Hoja1!S11,"AAAAAH99nRE=")</f>
        <v>#VALUE!</v>
      </c>
      <c r="S2" t="e">
        <f>AND(Hoja1!T11,"AAAAAH99nRI=")</f>
        <v>#VALUE!</v>
      </c>
      <c r="T2" t="e">
        <f>AND(Hoja1!U11,"AAAAAH99nRM=")</f>
        <v>#VALUE!</v>
      </c>
      <c r="U2">
        <f>IF(Hoja1!12:12,"AAAAAH99nRQ=",0)</f>
        <v>0</v>
      </c>
      <c r="V2" t="e">
        <f>AND(Hoja1!A12,"AAAAAH99nRU=")</f>
        <v>#VALUE!</v>
      </c>
      <c r="W2" t="e">
        <f>AND(Hoja1!B12,"AAAAAH99nRY=")</f>
        <v>#VALUE!</v>
      </c>
      <c r="X2" t="e">
        <f>AND(Hoja1!C12,"AAAAAH99nRc=")</f>
        <v>#VALUE!</v>
      </c>
      <c r="Y2" t="e">
        <f>AND(Hoja1!D12,"AAAAAH99nRg=")</f>
        <v>#VALUE!</v>
      </c>
      <c r="Z2" t="e">
        <f>AND(Hoja1!E12,"AAAAAH99nRk=")</f>
        <v>#VALUE!</v>
      </c>
      <c r="AA2" t="e">
        <f>AND(Hoja1!F12,"AAAAAH99nRo=")</f>
        <v>#VALUE!</v>
      </c>
      <c r="AB2" t="e">
        <f>AND(Hoja1!G12,"AAAAAH99nRs=")</f>
        <v>#VALUE!</v>
      </c>
      <c r="AC2" t="e">
        <f>AND(Hoja1!H12,"AAAAAH99nRw=")</f>
        <v>#VALUE!</v>
      </c>
      <c r="AD2" t="e">
        <f>AND(Hoja1!I12,"AAAAAH99nR0=")</f>
        <v>#VALUE!</v>
      </c>
      <c r="AE2" t="e">
        <f>AND(Hoja1!J12,"AAAAAH99nR4=")</f>
        <v>#VALUE!</v>
      </c>
      <c r="AF2" t="e">
        <f>AND(Hoja1!K12,"AAAAAH99nR8=")</f>
        <v>#VALUE!</v>
      </c>
      <c r="AG2" t="e">
        <f>AND(Hoja1!L12,"AAAAAH99nSA=")</f>
        <v>#VALUE!</v>
      </c>
      <c r="AH2" t="e">
        <f>AND(Hoja1!M12,"AAAAAH99nSE=")</f>
        <v>#VALUE!</v>
      </c>
      <c r="AI2" t="e">
        <f>AND(Hoja1!N12,"AAAAAH99nSI=")</f>
        <v>#VALUE!</v>
      </c>
      <c r="AJ2" t="e">
        <f>AND(Hoja1!O12,"AAAAAH99nSM=")</f>
        <v>#VALUE!</v>
      </c>
      <c r="AK2" t="e">
        <f>AND(Hoja1!P12,"AAAAAH99nSQ=")</f>
        <v>#VALUE!</v>
      </c>
      <c r="AL2" t="e">
        <f>AND(Hoja1!Q12,"AAAAAH99nSU=")</f>
        <v>#VALUE!</v>
      </c>
      <c r="AM2" t="e">
        <f>AND(Hoja1!#REF!,"AAAAAH99nSY=")</f>
        <v>#REF!</v>
      </c>
      <c r="AN2" t="e">
        <f>AND(Hoja1!R12,"AAAAAH99nSc=")</f>
        <v>#VALUE!</v>
      </c>
      <c r="AO2" t="e">
        <f>AND(Hoja1!S12,"AAAAAH99nSg=")</f>
        <v>#VALUE!</v>
      </c>
      <c r="AP2" t="e">
        <f>AND(Hoja1!T12,"AAAAAH99nSk=")</f>
        <v>#VALUE!</v>
      </c>
      <c r="AQ2" t="e">
        <f>AND(Hoja1!U12,"AAAAAH99nSo=")</f>
        <v>#VALUE!</v>
      </c>
      <c r="AR2">
        <f>IF(Hoja1!13:13,"AAAAAH99nSs=",0)</f>
        <v>0</v>
      </c>
      <c r="AS2" t="e">
        <f>AND(Hoja1!A13,"AAAAAH99nSw=")</f>
        <v>#VALUE!</v>
      </c>
      <c r="AT2" t="e">
        <f>AND(Hoja1!B13,"AAAAAH99nS0=")</f>
        <v>#VALUE!</v>
      </c>
      <c r="AU2" t="e">
        <f>AND(Hoja1!C13,"AAAAAH99nS4=")</f>
        <v>#VALUE!</v>
      </c>
      <c r="AV2" t="e">
        <f>AND(Hoja1!D13,"AAAAAH99nS8=")</f>
        <v>#VALUE!</v>
      </c>
      <c r="AW2" t="e">
        <f>AND(Hoja1!E13,"AAAAAH99nTA=")</f>
        <v>#VALUE!</v>
      </c>
      <c r="AX2" t="e">
        <f>AND(Hoja1!F13,"AAAAAH99nTE=")</f>
        <v>#VALUE!</v>
      </c>
      <c r="AY2" t="e">
        <f>AND(Hoja1!G13,"AAAAAH99nTI=")</f>
        <v>#VALUE!</v>
      </c>
      <c r="AZ2" t="e">
        <f>AND(Hoja1!H13,"AAAAAH99nTM=")</f>
        <v>#VALUE!</v>
      </c>
      <c r="BA2" t="e">
        <f>AND(Hoja1!I13,"AAAAAH99nTQ=")</f>
        <v>#VALUE!</v>
      </c>
      <c r="BB2" t="e">
        <f>AND(Hoja1!J13,"AAAAAH99nTU=")</f>
        <v>#VALUE!</v>
      </c>
      <c r="BC2" t="e">
        <f>AND(Hoja1!K13,"AAAAAH99nTY=")</f>
        <v>#VALUE!</v>
      </c>
      <c r="BD2" t="e">
        <f>AND(Hoja1!L13,"AAAAAH99nTc=")</f>
        <v>#VALUE!</v>
      </c>
      <c r="BE2" t="e">
        <f>AND(Hoja1!M13,"AAAAAH99nTg=")</f>
        <v>#VALUE!</v>
      </c>
      <c r="BF2" t="e">
        <f>AND(Hoja1!N13,"AAAAAH99nTk=")</f>
        <v>#VALUE!</v>
      </c>
      <c r="BG2" t="e">
        <f>AND(Hoja1!O13,"AAAAAH99nTo=")</f>
        <v>#VALUE!</v>
      </c>
      <c r="BH2" t="e">
        <f>AND(Hoja1!P13,"AAAAAH99nTs=")</f>
        <v>#VALUE!</v>
      </c>
      <c r="BI2" t="e">
        <f>AND(Hoja1!Q13,"AAAAAH99nTw=")</f>
        <v>#VALUE!</v>
      </c>
      <c r="BJ2" t="e">
        <f>AND(Hoja1!#REF!,"AAAAAH99nT0=")</f>
        <v>#REF!</v>
      </c>
      <c r="BK2" t="e">
        <f>AND(Hoja1!R13,"AAAAAH99nT4=")</f>
        <v>#VALUE!</v>
      </c>
      <c r="BL2" t="e">
        <f>AND(Hoja1!S13,"AAAAAH99nT8=")</f>
        <v>#VALUE!</v>
      </c>
      <c r="BM2" t="e">
        <f>AND(Hoja1!T13,"AAAAAH99nUA=")</f>
        <v>#VALUE!</v>
      </c>
      <c r="BN2" t="e">
        <f>AND(Hoja1!U13,"AAAAAH99nUE=")</f>
        <v>#VALUE!</v>
      </c>
      <c r="BO2">
        <f>IF(Hoja1!14:14,"AAAAAH99nUI=",0)</f>
        <v>0</v>
      </c>
      <c r="BP2" t="e">
        <f>AND(Hoja1!A14,"AAAAAH99nUM=")</f>
        <v>#VALUE!</v>
      </c>
      <c r="BQ2" t="e">
        <f>AND(Hoja1!B14,"AAAAAH99nUQ=")</f>
        <v>#VALUE!</v>
      </c>
      <c r="BR2" t="e">
        <f>AND(Hoja1!C14,"AAAAAH99nUU=")</f>
        <v>#VALUE!</v>
      </c>
      <c r="BS2" t="e">
        <f>AND(Hoja1!D14,"AAAAAH99nUY=")</f>
        <v>#VALUE!</v>
      </c>
      <c r="BT2" t="e">
        <f>AND(Hoja1!E14,"AAAAAH99nUc=")</f>
        <v>#VALUE!</v>
      </c>
      <c r="BU2" t="e">
        <f>AND(Hoja1!F14,"AAAAAH99nUg=")</f>
        <v>#VALUE!</v>
      </c>
      <c r="BV2" t="e">
        <f>AND(Hoja1!G14,"AAAAAH99nUk=")</f>
        <v>#VALUE!</v>
      </c>
      <c r="BW2" t="e">
        <f>AND(Hoja1!H14,"AAAAAH99nUo=")</f>
        <v>#VALUE!</v>
      </c>
      <c r="BX2" t="e">
        <f>AND(Hoja1!I14,"AAAAAH99nUs=")</f>
        <v>#VALUE!</v>
      </c>
      <c r="BY2" t="e">
        <f>AND(Hoja1!J14,"AAAAAH99nUw=")</f>
        <v>#VALUE!</v>
      </c>
      <c r="BZ2" t="e">
        <f>AND(Hoja1!K14,"AAAAAH99nU0=")</f>
        <v>#VALUE!</v>
      </c>
      <c r="CA2" t="e">
        <f>AND(Hoja1!L14,"AAAAAH99nU4=")</f>
        <v>#VALUE!</v>
      </c>
      <c r="CB2" t="e">
        <f>AND(Hoja1!M14,"AAAAAH99nU8=")</f>
        <v>#VALUE!</v>
      </c>
      <c r="CC2" t="e">
        <f>AND(Hoja1!N14,"AAAAAH99nVA=")</f>
        <v>#VALUE!</v>
      </c>
      <c r="CD2" t="e">
        <f>AND(Hoja1!O14,"AAAAAH99nVE=")</f>
        <v>#VALUE!</v>
      </c>
      <c r="CE2" t="e">
        <f>AND(Hoja1!P14,"AAAAAH99nVI=")</f>
        <v>#VALUE!</v>
      </c>
      <c r="CF2" t="e">
        <f>AND(Hoja1!Q14,"AAAAAH99nVM=")</f>
        <v>#VALUE!</v>
      </c>
      <c r="CG2" t="e">
        <f>AND(Hoja1!#REF!,"AAAAAH99nVQ=")</f>
        <v>#REF!</v>
      </c>
      <c r="CH2" t="e">
        <f>AND(Hoja1!R14,"AAAAAH99nVU=")</f>
        <v>#VALUE!</v>
      </c>
      <c r="CI2" t="e">
        <f>AND(Hoja1!S14,"AAAAAH99nVY=")</f>
        <v>#VALUE!</v>
      </c>
      <c r="CJ2" t="e">
        <f>AND(Hoja1!T14,"AAAAAH99nVc=")</f>
        <v>#VALUE!</v>
      </c>
      <c r="CK2" t="e">
        <f>AND(Hoja1!U14,"AAAAAH99nVg=")</f>
        <v>#VALUE!</v>
      </c>
      <c r="CL2">
        <f>IF(Hoja1!15:15,"AAAAAH99nVk=",0)</f>
        <v>0</v>
      </c>
      <c r="CM2" t="e">
        <f>AND(Hoja1!A15,"AAAAAH99nVo=")</f>
        <v>#VALUE!</v>
      </c>
      <c r="CN2" t="e">
        <f>AND(Hoja1!B15,"AAAAAH99nVs=")</f>
        <v>#VALUE!</v>
      </c>
      <c r="CO2" t="e">
        <f>AND(Hoja1!C15,"AAAAAH99nVw=")</f>
        <v>#VALUE!</v>
      </c>
      <c r="CP2" t="e">
        <f>AND(Hoja1!D15,"AAAAAH99nV0=")</f>
        <v>#VALUE!</v>
      </c>
      <c r="CQ2" t="e">
        <f>AND(Hoja1!E15,"AAAAAH99nV4=")</f>
        <v>#VALUE!</v>
      </c>
      <c r="CR2" t="e">
        <f>AND(Hoja1!F15,"AAAAAH99nV8=")</f>
        <v>#VALUE!</v>
      </c>
      <c r="CS2" t="e">
        <f>AND(Hoja1!G15,"AAAAAH99nWA=")</f>
        <v>#VALUE!</v>
      </c>
      <c r="CT2" t="e">
        <f>AND(Hoja1!H15,"AAAAAH99nWE=")</f>
        <v>#VALUE!</v>
      </c>
      <c r="CU2" t="e">
        <f>AND(Hoja1!I15,"AAAAAH99nWI=")</f>
        <v>#VALUE!</v>
      </c>
      <c r="CV2" t="e">
        <f>AND(Hoja1!J15,"AAAAAH99nWM=")</f>
        <v>#VALUE!</v>
      </c>
      <c r="CW2" t="e">
        <f>AND(Hoja1!K15,"AAAAAH99nWQ=")</f>
        <v>#VALUE!</v>
      </c>
      <c r="CX2" t="e">
        <f>AND(Hoja1!L15,"AAAAAH99nWU=")</f>
        <v>#VALUE!</v>
      </c>
      <c r="CY2" t="e">
        <f>AND(Hoja1!M15,"AAAAAH99nWY=")</f>
        <v>#VALUE!</v>
      </c>
      <c r="CZ2" t="e">
        <f>AND(Hoja1!N15,"AAAAAH99nWc=")</f>
        <v>#VALUE!</v>
      </c>
      <c r="DA2" t="e">
        <f>AND(Hoja1!O15,"AAAAAH99nWg=")</f>
        <v>#VALUE!</v>
      </c>
      <c r="DB2" t="e">
        <f>AND(Hoja1!P15,"AAAAAH99nWk=")</f>
        <v>#VALUE!</v>
      </c>
      <c r="DC2" t="e">
        <f>AND(Hoja1!Q15,"AAAAAH99nWo=")</f>
        <v>#VALUE!</v>
      </c>
      <c r="DD2" t="e">
        <f>AND(Hoja1!#REF!,"AAAAAH99nWs=")</f>
        <v>#REF!</v>
      </c>
      <c r="DE2" t="e">
        <f>AND(Hoja1!R15,"AAAAAH99nWw=")</f>
        <v>#VALUE!</v>
      </c>
      <c r="DF2" t="e">
        <f>AND(Hoja1!S15,"AAAAAH99nW0=")</f>
        <v>#VALUE!</v>
      </c>
      <c r="DG2" t="e">
        <f>AND(Hoja1!T15,"AAAAAH99nW4=")</f>
        <v>#VALUE!</v>
      </c>
      <c r="DH2" t="e">
        <f>AND(Hoja1!U15,"AAAAAH99nW8=")</f>
        <v>#VALUE!</v>
      </c>
      <c r="DI2">
        <f>IF(Hoja1!16:16,"AAAAAH99nXA=",0)</f>
        <v>0</v>
      </c>
      <c r="DJ2" t="e">
        <f>AND(Hoja1!A16,"AAAAAH99nXE=")</f>
        <v>#VALUE!</v>
      </c>
      <c r="DK2" t="e">
        <f>AND(Hoja1!B16,"AAAAAH99nXI=")</f>
        <v>#VALUE!</v>
      </c>
      <c r="DL2" t="e">
        <f>AND(Hoja1!C16,"AAAAAH99nXM=")</f>
        <v>#VALUE!</v>
      </c>
      <c r="DM2" t="e">
        <f>AND(Hoja1!D16,"AAAAAH99nXQ=")</f>
        <v>#VALUE!</v>
      </c>
      <c r="DN2" t="e">
        <f>AND(Hoja1!E16,"AAAAAH99nXU=")</f>
        <v>#VALUE!</v>
      </c>
      <c r="DO2" t="e">
        <f>AND(Hoja1!F16,"AAAAAH99nXY=")</f>
        <v>#VALUE!</v>
      </c>
      <c r="DP2" t="e">
        <f>AND(Hoja1!G16,"AAAAAH99nXc=")</f>
        <v>#VALUE!</v>
      </c>
      <c r="DQ2" t="e">
        <f>AND(Hoja1!H16,"AAAAAH99nXg=")</f>
        <v>#VALUE!</v>
      </c>
      <c r="DR2" t="e">
        <f>AND(Hoja1!I16,"AAAAAH99nXk=")</f>
        <v>#VALUE!</v>
      </c>
      <c r="DS2" t="e">
        <f>AND(Hoja1!J16,"AAAAAH99nXo=")</f>
        <v>#VALUE!</v>
      </c>
      <c r="DT2" t="e">
        <f>AND(Hoja1!K16,"AAAAAH99nXs=")</f>
        <v>#VALUE!</v>
      </c>
      <c r="DU2" t="e">
        <f>AND(Hoja1!L16,"AAAAAH99nXw=")</f>
        <v>#VALUE!</v>
      </c>
      <c r="DV2" t="e">
        <f>AND(Hoja1!M16,"AAAAAH99nX0=")</f>
        <v>#VALUE!</v>
      </c>
      <c r="DW2" t="e">
        <f>AND(Hoja1!N16,"AAAAAH99nX4=")</f>
        <v>#VALUE!</v>
      </c>
      <c r="DX2" t="e">
        <f>AND(Hoja1!O16,"AAAAAH99nX8=")</f>
        <v>#VALUE!</v>
      </c>
      <c r="DY2" t="e">
        <f>AND(Hoja1!P16,"AAAAAH99nYA=")</f>
        <v>#VALUE!</v>
      </c>
      <c r="DZ2" t="e">
        <f>AND(Hoja1!Q16,"AAAAAH99nYE=")</f>
        <v>#VALUE!</v>
      </c>
      <c r="EA2" t="e">
        <f>AND(Hoja1!#REF!,"AAAAAH99nYI=")</f>
        <v>#REF!</v>
      </c>
      <c r="EB2" t="e">
        <f>AND(Hoja1!R16,"AAAAAH99nYM=")</f>
        <v>#VALUE!</v>
      </c>
      <c r="EC2" t="e">
        <f>AND(Hoja1!S16,"AAAAAH99nYQ=")</f>
        <v>#VALUE!</v>
      </c>
      <c r="ED2" t="e">
        <f>AND(Hoja1!T16,"AAAAAH99nYU=")</f>
        <v>#VALUE!</v>
      </c>
      <c r="EE2" t="e">
        <f>AND(Hoja1!U16,"AAAAAH99nYY=")</f>
        <v>#VALUE!</v>
      </c>
      <c r="EF2">
        <f>IF(Hoja1!17:17,"AAAAAH99nYc=",0)</f>
        <v>0</v>
      </c>
      <c r="EG2" t="e">
        <f>AND(Hoja1!A17,"AAAAAH99nYg=")</f>
        <v>#VALUE!</v>
      </c>
      <c r="EH2" t="e">
        <f>AND(Hoja1!B17,"AAAAAH99nYk=")</f>
        <v>#VALUE!</v>
      </c>
      <c r="EI2" t="e">
        <f>AND(Hoja1!C17,"AAAAAH99nYo=")</f>
        <v>#VALUE!</v>
      </c>
      <c r="EJ2" t="e">
        <f>AND(Hoja1!D17,"AAAAAH99nYs=")</f>
        <v>#VALUE!</v>
      </c>
      <c r="EK2" t="e">
        <f>AND(Hoja1!E17,"AAAAAH99nYw=")</f>
        <v>#VALUE!</v>
      </c>
      <c r="EL2" t="e">
        <f>AND(Hoja1!F17,"AAAAAH99nY0=")</f>
        <v>#VALUE!</v>
      </c>
      <c r="EM2" t="e">
        <f>AND(Hoja1!G17,"AAAAAH99nY4=")</f>
        <v>#VALUE!</v>
      </c>
      <c r="EN2" t="e">
        <f>AND(Hoja1!H17,"AAAAAH99nY8=")</f>
        <v>#VALUE!</v>
      </c>
      <c r="EO2" t="e">
        <f>AND(Hoja1!I17,"AAAAAH99nZA=")</f>
        <v>#VALUE!</v>
      </c>
      <c r="EP2" t="e">
        <f>AND(Hoja1!J17,"AAAAAH99nZE=")</f>
        <v>#VALUE!</v>
      </c>
      <c r="EQ2" t="e">
        <f>AND(Hoja1!K17,"AAAAAH99nZI=")</f>
        <v>#VALUE!</v>
      </c>
      <c r="ER2" t="e">
        <f>AND(Hoja1!L17,"AAAAAH99nZM=")</f>
        <v>#VALUE!</v>
      </c>
      <c r="ES2" t="e">
        <f>AND(Hoja1!M17,"AAAAAH99nZQ=")</f>
        <v>#VALUE!</v>
      </c>
      <c r="ET2" t="e">
        <f>AND(Hoja1!N17,"AAAAAH99nZU=")</f>
        <v>#VALUE!</v>
      </c>
      <c r="EU2" t="e">
        <f>AND(Hoja1!O17,"AAAAAH99nZY=")</f>
        <v>#VALUE!</v>
      </c>
      <c r="EV2" t="e">
        <f>AND(Hoja1!P17,"AAAAAH99nZc=")</f>
        <v>#VALUE!</v>
      </c>
      <c r="EW2" t="e">
        <f>AND(Hoja1!Q17,"AAAAAH99nZg=")</f>
        <v>#VALUE!</v>
      </c>
      <c r="EX2" t="e">
        <f>AND(Hoja1!#REF!,"AAAAAH99nZk=")</f>
        <v>#REF!</v>
      </c>
      <c r="EY2" t="e">
        <f>AND(Hoja1!R17,"AAAAAH99nZo=")</f>
        <v>#VALUE!</v>
      </c>
      <c r="EZ2" t="e">
        <f>AND(Hoja1!S17,"AAAAAH99nZs=")</f>
        <v>#VALUE!</v>
      </c>
      <c r="FA2" t="e">
        <f>AND(Hoja1!T17,"AAAAAH99nZw=")</f>
        <v>#VALUE!</v>
      </c>
      <c r="FB2" t="e">
        <f>AND(Hoja1!U17,"AAAAAH99nZ0=")</f>
        <v>#VALUE!</v>
      </c>
      <c r="FC2">
        <f>IF(Hoja1!18:18,"AAAAAH99nZ4=",0)</f>
        <v>0</v>
      </c>
      <c r="FD2" t="e">
        <f>AND(Hoja1!A18,"AAAAAH99nZ8=")</f>
        <v>#VALUE!</v>
      </c>
      <c r="FE2" t="e">
        <f>AND(Hoja1!B18,"AAAAAH99naA=")</f>
        <v>#VALUE!</v>
      </c>
      <c r="FF2" t="e">
        <f>AND(Hoja1!C18,"AAAAAH99naE=")</f>
        <v>#VALUE!</v>
      </c>
      <c r="FG2" t="e">
        <f>AND(Hoja1!D18,"AAAAAH99naI=")</f>
        <v>#VALUE!</v>
      </c>
      <c r="FH2" t="e">
        <f>AND(Hoja1!E18,"AAAAAH99naM=")</f>
        <v>#VALUE!</v>
      </c>
      <c r="FI2" t="e">
        <f>AND(Hoja1!F18,"AAAAAH99naQ=")</f>
        <v>#VALUE!</v>
      </c>
      <c r="FJ2" t="e">
        <f>AND(Hoja1!G18,"AAAAAH99naU=")</f>
        <v>#VALUE!</v>
      </c>
      <c r="FK2" t="e">
        <f>AND(Hoja1!H18,"AAAAAH99naY=")</f>
        <v>#VALUE!</v>
      </c>
      <c r="FL2" t="e">
        <f>AND(Hoja1!I18,"AAAAAH99nac=")</f>
        <v>#VALUE!</v>
      </c>
      <c r="FM2" t="e">
        <f>AND(Hoja1!J18,"AAAAAH99nag=")</f>
        <v>#VALUE!</v>
      </c>
      <c r="FN2" t="e">
        <f>AND(Hoja1!K18,"AAAAAH99nak=")</f>
        <v>#VALUE!</v>
      </c>
      <c r="FO2" t="e">
        <f>AND(Hoja1!L18,"AAAAAH99nao=")</f>
        <v>#VALUE!</v>
      </c>
      <c r="FP2" t="e">
        <f>AND(Hoja1!M18,"AAAAAH99nas=")</f>
        <v>#VALUE!</v>
      </c>
      <c r="FQ2" t="e">
        <f>AND(Hoja1!N18,"AAAAAH99naw=")</f>
        <v>#VALUE!</v>
      </c>
      <c r="FR2" t="e">
        <f>AND(Hoja1!O18,"AAAAAH99na0=")</f>
        <v>#VALUE!</v>
      </c>
      <c r="FS2" t="e">
        <f>AND(Hoja1!P18,"AAAAAH99na4=")</f>
        <v>#VALUE!</v>
      </c>
      <c r="FT2" t="e">
        <f>AND(Hoja1!Q18,"AAAAAH99na8=")</f>
        <v>#VALUE!</v>
      </c>
      <c r="FU2" t="e">
        <f>AND(Hoja1!#REF!,"AAAAAH99nbA=")</f>
        <v>#REF!</v>
      </c>
      <c r="FV2" t="e">
        <f>AND(Hoja1!R18,"AAAAAH99nbE=")</f>
        <v>#VALUE!</v>
      </c>
      <c r="FW2" t="e">
        <f>AND(Hoja1!S18,"AAAAAH99nbI=")</f>
        <v>#VALUE!</v>
      </c>
      <c r="FX2" t="e">
        <f>AND(Hoja1!T18,"AAAAAH99nbM=")</f>
        <v>#VALUE!</v>
      </c>
      <c r="FY2" t="e">
        <f>AND(Hoja1!U18,"AAAAAH99nbQ=")</f>
        <v>#VALUE!</v>
      </c>
      <c r="FZ2">
        <f>IF(Hoja1!19:19,"AAAAAH99nbU=",0)</f>
        <v>0</v>
      </c>
      <c r="GA2" t="e">
        <f>AND(Hoja1!A19,"AAAAAH99nbY=")</f>
        <v>#VALUE!</v>
      </c>
      <c r="GB2" t="e">
        <f>AND(Hoja1!B19,"AAAAAH99nbc=")</f>
        <v>#VALUE!</v>
      </c>
      <c r="GC2" t="e">
        <f>AND(Hoja1!C19,"AAAAAH99nbg=")</f>
        <v>#VALUE!</v>
      </c>
      <c r="GD2" t="e">
        <f>AND(Hoja1!D19,"AAAAAH99nbk=")</f>
        <v>#VALUE!</v>
      </c>
      <c r="GE2" t="e">
        <f>AND(Hoja1!E19,"AAAAAH99nbo=")</f>
        <v>#VALUE!</v>
      </c>
      <c r="GF2" t="e">
        <f>AND(Hoja1!F19,"AAAAAH99nbs=")</f>
        <v>#VALUE!</v>
      </c>
      <c r="GG2" t="e">
        <f>AND(Hoja1!G19,"AAAAAH99nbw=")</f>
        <v>#VALUE!</v>
      </c>
      <c r="GH2" t="e">
        <f>AND(Hoja1!H19,"AAAAAH99nb0=")</f>
        <v>#VALUE!</v>
      </c>
      <c r="GI2" t="e">
        <f>AND(Hoja1!I19,"AAAAAH99nb4=")</f>
        <v>#VALUE!</v>
      </c>
      <c r="GJ2" t="e">
        <f>AND(Hoja1!J19,"AAAAAH99nb8=")</f>
        <v>#VALUE!</v>
      </c>
      <c r="GK2" t="e">
        <f>AND(Hoja1!K19,"AAAAAH99ncA=")</f>
        <v>#VALUE!</v>
      </c>
      <c r="GL2" t="e">
        <f>AND(Hoja1!L19,"AAAAAH99ncE=")</f>
        <v>#VALUE!</v>
      </c>
      <c r="GM2" t="e">
        <f>AND(Hoja1!M19,"AAAAAH99ncI=")</f>
        <v>#VALUE!</v>
      </c>
      <c r="GN2" t="e">
        <f>AND(Hoja1!N19,"AAAAAH99ncM=")</f>
        <v>#VALUE!</v>
      </c>
      <c r="GO2" t="e">
        <f>AND(Hoja1!O19,"AAAAAH99ncQ=")</f>
        <v>#VALUE!</v>
      </c>
      <c r="GP2" t="e">
        <f>AND(Hoja1!P19,"AAAAAH99ncU=")</f>
        <v>#VALUE!</v>
      </c>
      <c r="GQ2" t="e">
        <f>AND(Hoja1!Q19,"AAAAAH99ncY=")</f>
        <v>#VALUE!</v>
      </c>
      <c r="GR2" t="e">
        <f>AND(Hoja1!#REF!,"AAAAAH99ncc=")</f>
        <v>#REF!</v>
      </c>
      <c r="GS2" t="e">
        <f>AND(Hoja1!R19,"AAAAAH99ncg=")</f>
        <v>#VALUE!</v>
      </c>
      <c r="GT2" t="e">
        <f>AND(Hoja1!S19,"AAAAAH99nck=")</f>
        <v>#VALUE!</v>
      </c>
      <c r="GU2" t="e">
        <f>AND(Hoja1!T19,"AAAAAH99nco=")</f>
        <v>#VALUE!</v>
      </c>
      <c r="GV2" t="e">
        <f>AND(Hoja1!U19,"AAAAAH99ncs=")</f>
        <v>#VALUE!</v>
      </c>
      <c r="GW2">
        <f>IF(Hoja1!20:20,"AAAAAH99ncw=",0)</f>
        <v>0</v>
      </c>
      <c r="GX2" t="e">
        <f>AND(Hoja1!A20,"AAAAAH99nc0=")</f>
        <v>#VALUE!</v>
      </c>
      <c r="GY2" t="e">
        <f>AND(Hoja1!B20,"AAAAAH99nc4=")</f>
        <v>#VALUE!</v>
      </c>
      <c r="GZ2" t="e">
        <f>AND(Hoja1!C20,"AAAAAH99nc8=")</f>
        <v>#VALUE!</v>
      </c>
      <c r="HA2" t="e">
        <f>AND(Hoja1!D20,"AAAAAH99ndA=")</f>
        <v>#VALUE!</v>
      </c>
      <c r="HB2" t="e">
        <f>AND(Hoja1!E20,"AAAAAH99ndE=")</f>
        <v>#VALUE!</v>
      </c>
      <c r="HC2" t="e">
        <f>AND(Hoja1!F20,"AAAAAH99ndI=")</f>
        <v>#VALUE!</v>
      </c>
      <c r="HD2" t="e">
        <f>AND(Hoja1!G20,"AAAAAH99ndM=")</f>
        <v>#VALUE!</v>
      </c>
      <c r="HE2" t="e">
        <f>AND(Hoja1!H20,"AAAAAH99ndQ=")</f>
        <v>#VALUE!</v>
      </c>
      <c r="HF2" t="e">
        <f>AND(Hoja1!I20,"AAAAAH99ndU=")</f>
        <v>#VALUE!</v>
      </c>
      <c r="HG2" t="e">
        <f>AND(Hoja1!J20,"AAAAAH99ndY=")</f>
        <v>#VALUE!</v>
      </c>
      <c r="HH2" t="e">
        <f>AND(Hoja1!K20,"AAAAAH99ndc=")</f>
        <v>#VALUE!</v>
      </c>
      <c r="HI2" t="e">
        <f>AND(Hoja1!L20,"AAAAAH99ndg=")</f>
        <v>#VALUE!</v>
      </c>
      <c r="HJ2" t="e">
        <f>AND(Hoja1!M20,"AAAAAH99ndk=")</f>
        <v>#VALUE!</v>
      </c>
      <c r="HK2" t="e">
        <f>AND(Hoja1!N20,"AAAAAH99ndo=")</f>
        <v>#VALUE!</v>
      </c>
      <c r="HL2" t="e">
        <f>AND(Hoja1!O20,"AAAAAH99nds=")</f>
        <v>#VALUE!</v>
      </c>
      <c r="HM2" t="e">
        <f>AND(Hoja1!P20,"AAAAAH99ndw=")</f>
        <v>#VALUE!</v>
      </c>
      <c r="HN2" t="e">
        <f>AND(Hoja1!Q20,"AAAAAH99nd0=")</f>
        <v>#VALUE!</v>
      </c>
      <c r="HO2" t="e">
        <f>AND(Hoja1!#REF!,"AAAAAH99nd4=")</f>
        <v>#REF!</v>
      </c>
      <c r="HP2" t="e">
        <f>AND(Hoja1!R20,"AAAAAH99nd8=")</f>
        <v>#VALUE!</v>
      </c>
      <c r="HQ2" t="e">
        <f>AND(Hoja1!S20,"AAAAAH99neA=")</f>
        <v>#VALUE!</v>
      </c>
      <c r="HR2" t="e">
        <f>AND(Hoja1!T20,"AAAAAH99neE=")</f>
        <v>#VALUE!</v>
      </c>
      <c r="HS2" t="e">
        <f>AND(Hoja1!U20,"AAAAAH99neI=")</f>
        <v>#VALUE!</v>
      </c>
      <c r="HT2">
        <f>IF(Hoja1!21:21,"AAAAAH99neM=",0)</f>
        <v>0</v>
      </c>
      <c r="HU2" t="e">
        <f>AND(Hoja1!A21,"AAAAAH99neQ=")</f>
        <v>#VALUE!</v>
      </c>
      <c r="HV2" t="e">
        <f>AND(Hoja1!B21,"AAAAAH99neU=")</f>
        <v>#VALUE!</v>
      </c>
      <c r="HW2" t="e">
        <f>AND(Hoja1!C21,"AAAAAH99neY=")</f>
        <v>#VALUE!</v>
      </c>
      <c r="HX2" t="e">
        <f>AND(Hoja1!D21,"AAAAAH99nec=")</f>
        <v>#VALUE!</v>
      </c>
      <c r="HY2" t="e">
        <f>AND(Hoja1!E21,"AAAAAH99neg=")</f>
        <v>#VALUE!</v>
      </c>
      <c r="HZ2" t="e">
        <f>AND(Hoja1!F21,"AAAAAH99nek=")</f>
        <v>#VALUE!</v>
      </c>
      <c r="IA2" t="e">
        <f>AND(Hoja1!G21,"AAAAAH99neo=")</f>
        <v>#VALUE!</v>
      </c>
      <c r="IB2" t="e">
        <f>AND(Hoja1!H21,"AAAAAH99nes=")</f>
        <v>#VALUE!</v>
      </c>
      <c r="IC2" t="e">
        <f>AND(Hoja1!I21,"AAAAAH99new=")</f>
        <v>#VALUE!</v>
      </c>
      <c r="ID2" t="e">
        <f>AND(Hoja1!J21,"AAAAAH99ne0=")</f>
        <v>#VALUE!</v>
      </c>
      <c r="IE2" t="e">
        <f>AND(Hoja1!K21,"AAAAAH99ne4=")</f>
        <v>#VALUE!</v>
      </c>
      <c r="IF2" t="e">
        <f>AND(Hoja1!L21,"AAAAAH99ne8=")</f>
        <v>#VALUE!</v>
      </c>
      <c r="IG2" t="e">
        <f>AND(Hoja1!M21,"AAAAAH99nfA=")</f>
        <v>#VALUE!</v>
      </c>
      <c r="IH2" t="e">
        <f>AND(Hoja1!N21,"AAAAAH99nfE=")</f>
        <v>#VALUE!</v>
      </c>
      <c r="II2" t="e">
        <f>AND(Hoja1!O21,"AAAAAH99nfI=")</f>
        <v>#VALUE!</v>
      </c>
      <c r="IJ2" t="e">
        <f>AND(Hoja1!P21,"AAAAAH99nfM=")</f>
        <v>#VALUE!</v>
      </c>
      <c r="IK2" t="e">
        <f>AND(Hoja1!Q21,"AAAAAH99nfQ=")</f>
        <v>#VALUE!</v>
      </c>
      <c r="IL2" t="e">
        <f>AND(Hoja1!#REF!,"AAAAAH99nfU=")</f>
        <v>#REF!</v>
      </c>
      <c r="IM2" t="e">
        <f>AND(Hoja1!R21,"AAAAAH99nfY=")</f>
        <v>#VALUE!</v>
      </c>
      <c r="IN2" t="e">
        <f>AND(Hoja1!S21,"AAAAAH99nfc=")</f>
        <v>#VALUE!</v>
      </c>
      <c r="IO2" t="e">
        <f>AND(Hoja1!T21,"AAAAAH99nfg=")</f>
        <v>#VALUE!</v>
      </c>
      <c r="IP2" t="e">
        <f>AND(Hoja1!U21,"AAAAAH99nfk=")</f>
        <v>#VALUE!</v>
      </c>
      <c r="IQ2">
        <f>IF(Hoja1!22:22,"AAAAAH99nfo=",0)</f>
        <v>0</v>
      </c>
      <c r="IR2" t="e">
        <f>AND(Hoja1!A22,"AAAAAH99nfs=")</f>
        <v>#VALUE!</v>
      </c>
      <c r="IS2" t="e">
        <f>AND(Hoja1!B22,"AAAAAH99nfw=")</f>
        <v>#VALUE!</v>
      </c>
      <c r="IT2" t="e">
        <f>AND(Hoja1!C22,"AAAAAH99nf0=")</f>
        <v>#VALUE!</v>
      </c>
      <c r="IU2" t="e">
        <f>AND(Hoja1!D22,"AAAAAH99nf4=")</f>
        <v>#VALUE!</v>
      </c>
      <c r="IV2" t="e">
        <f>AND(Hoja1!E22,"AAAAAH99nf8=")</f>
        <v>#VALUE!</v>
      </c>
    </row>
    <row r="3" spans="1:256" ht="15">
      <c r="A3" t="e">
        <f>AND(Hoja1!F22,"AAAAAB9erwA=")</f>
        <v>#VALUE!</v>
      </c>
      <c r="B3" t="e">
        <f>AND(Hoja1!G22,"AAAAAB9erwE=")</f>
        <v>#VALUE!</v>
      </c>
      <c r="C3" t="e">
        <f>AND(Hoja1!H22,"AAAAAB9erwI=")</f>
        <v>#VALUE!</v>
      </c>
      <c r="D3" t="e">
        <f>AND(Hoja1!I22,"AAAAAB9erwM=")</f>
        <v>#VALUE!</v>
      </c>
      <c r="E3" t="e">
        <f>AND(Hoja1!J22,"AAAAAB9erwQ=")</f>
        <v>#VALUE!</v>
      </c>
      <c r="F3" t="e">
        <f>AND(Hoja1!K22,"AAAAAB9erwU=")</f>
        <v>#VALUE!</v>
      </c>
      <c r="G3" t="e">
        <f>AND(Hoja1!L22,"AAAAAB9erwY=")</f>
        <v>#VALUE!</v>
      </c>
      <c r="H3" t="e">
        <f>AND(Hoja1!M22,"AAAAAB9erwc=")</f>
        <v>#VALUE!</v>
      </c>
      <c r="I3" t="e">
        <f>AND(Hoja1!N22,"AAAAAB9erwg=")</f>
        <v>#VALUE!</v>
      </c>
      <c r="J3" t="e">
        <f>AND(Hoja1!O22,"AAAAAB9erwk=")</f>
        <v>#VALUE!</v>
      </c>
      <c r="K3" t="e">
        <f>AND(Hoja1!P22,"AAAAAB9erwo=")</f>
        <v>#VALUE!</v>
      </c>
      <c r="L3" t="e">
        <f>AND(Hoja1!Q22,"AAAAAB9erws=")</f>
        <v>#VALUE!</v>
      </c>
      <c r="M3" t="e">
        <f>AND(Hoja1!#REF!,"AAAAAB9erww=")</f>
        <v>#REF!</v>
      </c>
      <c r="N3" t="e">
        <f>AND(Hoja1!R22,"AAAAAB9erw0=")</f>
        <v>#VALUE!</v>
      </c>
      <c r="O3" t="e">
        <f>AND(Hoja1!S22,"AAAAAB9erw4=")</f>
        <v>#VALUE!</v>
      </c>
      <c r="P3" t="e">
        <f>AND(Hoja1!T22,"AAAAAB9erw8=")</f>
        <v>#VALUE!</v>
      </c>
      <c r="Q3" t="e">
        <f>AND(Hoja1!U22,"AAAAAB9erxA=")</f>
        <v>#VALUE!</v>
      </c>
      <c r="R3">
        <f>IF(Hoja1!23:23,"AAAAAB9erxE=",0)</f>
        <v>0</v>
      </c>
      <c r="S3" t="e">
        <f>AND(Hoja1!A23,"AAAAAB9erxI=")</f>
        <v>#VALUE!</v>
      </c>
      <c r="T3" t="e">
        <f>AND(Hoja1!B23,"AAAAAB9erxM=")</f>
        <v>#VALUE!</v>
      </c>
      <c r="U3" t="e">
        <f>AND(Hoja1!C23,"AAAAAB9erxQ=")</f>
        <v>#VALUE!</v>
      </c>
      <c r="V3" t="e">
        <f>AND(Hoja1!D23,"AAAAAB9erxU=")</f>
        <v>#VALUE!</v>
      </c>
      <c r="W3" t="e">
        <f>AND(Hoja1!E23,"AAAAAB9erxY=")</f>
        <v>#VALUE!</v>
      </c>
      <c r="X3" t="e">
        <f>AND(Hoja1!F23,"AAAAAB9erxc=")</f>
        <v>#VALUE!</v>
      </c>
      <c r="Y3" t="e">
        <f>AND(Hoja1!G23,"AAAAAB9erxg=")</f>
        <v>#VALUE!</v>
      </c>
      <c r="Z3" t="e">
        <f>AND(Hoja1!H23,"AAAAAB9erxk=")</f>
        <v>#VALUE!</v>
      </c>
      <c r="AA3" t="e">
        <f>AND(Hoja1!I23,"AAAAAB9erxo=")</f>
        <v>#VALUE!</v>
      </c>
      <c r="AB3" t="e">
        <f>AND(Hoja1!J23,"AAAAAB9erxs=")</f>
        <v>#VALUE!</v>
      </c>
      <c r="AC3" t="e">
        <f>AND(Hoja1!K23,"AAAAAB9erxw=")</f>
        <v>#VALUE!</v>
      </c>
      <c r="AD3" t="e">
        <f>AND(Hoja1!L23,"AAAAAB9erx0=")</f>
        <v>#VALUE!</v>
      </c>
      <c r="AE3" t="e">
        <f>AND(Hoja1!M23,"AAAAAB9erx4=")</f>
        <v>#VALUE!</v>
      </c>
      <c r="AF3" t="e">
        <f>AND(Hoja1!N23,"AAAAAB9erx8=")</f>
        <v>#VALUE!</v>
      </c>
      <c r="AG3" t="e">
        <f>AND(Hoja1!O23,"AAAAAB9eryA=")</f>
        <v>#VALUE!</v>
      </c>
      <c r="AH3" t="e">
        <f>AND(Hoja1!P23,"AAAAAB9eryE=")</f>
        <v>#VALUE!</v>
      </c>
      <c r="AI3" t="e">
        <f>AND(Hoja1!Q23,"AAAAAB9eryI=")</f>
        <v>#VALUE!</v>
      </c>
      <c r="AJ3" t="e">
        <f>AND(Hoja1!#REF!,"AAAAAB9eryM=")</f>
        <v>#REF!</v>
      </c>
      <c r="AK3" t="e">
        <f>AND(Hoja1!R23,"AAAAAB9eryQ=")</f>
        <v>#VALUE!</v>
      </c>
      <c r="AL3" t="e">
        <f>AND(Hoja1!S23,"AAAAAB9eryU=")</f>
        <v>#VALUE!</v>
      </c>
      <c r="AM3" t="e">
        <f>AND(Hoja1!T23,"AAAAAB9eryY=")</f>
        <v>#VALUE!</v>
      </c>
      <c r="AN3" t="e">
        <f>AND(Hoja1!U23,"AAAAAB9eryc=")</f>
        <v>#VALUE!</v>
      </c>
      <c r="AO3">
        <f>IF(Hoja1!24:24,"AAAAAB9eryg=",0)</f>
        <v>0</v>
      </c>
      <c r="AP3" t="e">
        <f>AND(Hoja1!A24,"AAAAAB9eryk=")</f>
        <v>#VALUE!</v>
      </c>
      <c r="AQ3" t="e">
        <f>AND(Hoja1!B24,"AAAAAB9eryo=")</f>
        <v>#VALUE!</v>
      </c>
      <c r="AR3" t="e">
        <f>AND(Hoja1!C24,"AAAAAB9erys=")</f>
        <v>#VALUE!</v>
      </c>
      <c r="AS3" t="e">
        <f>AND(Hoja1!D24,"AAAAAB9eryw=")</f>
        <v>#VALUE!</v>
      </c>
      <c r="AT3" t="e">
        <f>AND(Hoja1!E24,"AAAAAB9ery0=")</f>
        <v>#VALUE!</v>
      </c>
      <c r="AU3" t="e">
        <f>AND(Hoja1!F24,"AAAAAB9ery4=")</f>
        <v>#VALUE!</v>
      </c>
      <c r="AV3" t="e">
        <f>AND(Hoja1!G24,"AAAAAB9ery8=")</f>
        <v>#VALUE!</v>
      </c>
      <c r="AW3" t="e">
        <f>AND(Hoja1!H24,"AAAAAB9erzA=")</f>
        <v>#VALUE!</v>
      </c>
      <c r="AX3" t="e">
        <f>AND(Hoja1!I24,"AAAAAB9erzE=")</f>
        <v>#VALUE!</v>
      </c>
      <c r="AY3" t="e">
        <f>AND(Hoja1!J24,"AAAAAB9erzI=")</f>
        <v>#VALUE!</v>
      </c>
      <c r="AZ3" t="e">
        <f>AND(Hoja1!K24,"AAAAAB9erzM=")</f>
        <v>#VALUE!</v>
      </c>
      <c r="BA3" t="e">
        <f>AND(Hoja1!L24,"AAAAAB9erzQ=")</f>
        <v>#VALUE!</v>
      </c>
      <c r="BB3" t="e">
        <f>AND(Hoja1!M24,"AAAAAB9erzU=")</f>
        <v>#VALUE!</v>
      </c>
      <c r="BC3" t="e">
        <f>AND(Hoja1!N24,"AAAAAB9erzY=")</f>
        <v>#VALUE!</v>
      </c>
      <c r="BD3" t="e">
        <f>AND(Hoja1!O24,"AAAAAB9erzc=")</f>
        <v>#VALUE!</v>
      </c>
      <c r="BE3" t="e">
        <f>AND(Hoja1!P24,"AAAAAB9erzg=")</f>
        <v>#VALUE!</v>
      </c>
      <c r="BF3" t="e">
        <f>AND(Hoja1!Q24,"AAAAAB9erzk=")</f>
        <v>#VALUE!</v>
      </c>
      <c r="BG3" t="e">
        <f>AND(Hoja1!#REF!,"AAAAAB9erzo=")</f>
        <v>#REF!</v>
      </c>
      <c r="BH3" t="e">
        <f>AND(Hoja1!R24,"AAAAAB9erzs=")</f>
        <v>#VALUE!</v>
      </c>
      <c r="BI3" t="e">
        <f>AND(Hoja1!S24,"AAAAAB9erzw=")</f>
        <v>#VALUE!</v>
      </c>
      <c r="BJ3" t="e">
        <f>AND(Hoja1!T24,"AAAAAB9erz0=")</f>
        <v>#VALUE!</v>
      </c>
      <c r="BK3" t="e">
        <f>AND(Hoja1!U24,"AAAAAB9erz4=")</f>
        <v>#VALUE!</v>
      </c>
      <c r="BL3">
        <f>IF(Hoja1!25:25,"AAAAAB9erz8=",0)</f>
        <v>0</v>
      </c>
      <c r="BM3" t="e">
        <f>AND(Hoja1!A25,"AAAAAB9er0A=")</f>
        <v>#VALUE!</v>
      </c>
      <c r="BN3" t="e">
        <f>AND(Hoja1!B25,"AAAAAB9er0E=")</f>
        <v>#VALUE!</v>
      </c>
      <c r="BO3" t="e">
        <f>AND(Hoja1!C25,"AAAAAB9er0I=")</f>
        <v>#VALUE!</v>
      </c>
      <c r="BP3" t="e">
        <f>AND(Hoja1!D25,"AAAAAB9er0M=")</f>
        <v>#VALUE!</v>
      </c>
      <c r="BQ3" t="e">
        <f>AND(Hoja1!E25,"AAAAAB9er0Q=")</f>
        <v>#VALUE!</v>
      </c>
      <c r="BR3" t="e">
        <f>AND(Hoja1!F25,"AAAAAB9er0U=")</f>
        <v>#VALUE!</v>
      </c>
      <c r="BS3" t="e">
        <f>AND(Hoja1!G25,"AAAAAB9er0Y=")</f>
        <v>#VALUE!</v>
      </c>
      <c r="BT3" t="e">
        <f>AND(Hoja1!H25,"AAAAAB9er0c=")</f>
        <v>#VALUE!</v>
      </c>
      <c r="BU3" t="e">
        <f>AND(Hoja1!I25,"AAAAAB9er0g=")</f>
        <v>#VALUE!</v>
      </c>
      <c r="BV3" t="e">
        <f>AND(Hoja1!J25,"AAAAAB9er0k=")</f>
        <v>#VALUE!</v>
      </c>
      <c r="BW3" t="e">
        <f>AND(Hoja1!K25,"AAAAAB9er0o=")</f>
        <v>#VALUE!</v>
      </c>
      <c r="BX3" t="e">
        <f>AND(Hoja1!L25,"AAAAAB9er0s=")</f>
        <v>#VALUE!</v>
      </c>
      <c r="BY3" t="e">
        <f>AND(Hoja1!M25,"AAAAAB9er0w=")</f>
        <v>#VALUE!</v>
      </c>
      <c r="BZ3" t="e">
        <f>AND(Hoja1!N25,"AAAAAB9er00=")</f>
        <v>#VALUE!</v>
      </c>
      <c r="CA3" t="e">
        <f>AND(Hoja1!O25,"AAAAAB9er04=")</f>
        <v>#VALUE!</v>
      </c>
      <c r="CB3" t="e">
        <f>AND(Hoja1!P25,"AAAAAB9er08=")</f>
        <v>#VALUE!</v>
      </c>
      <c r="CC3" t="e">
        <f>AND(Hoja1!Q25,"AAAAAB9er1A=")</f>
        <v>#VALUE!</v>
      </c>
      <c r="CD3" t="e">
        <f>AND(Hoja1!#REF!,"AAAAAB9er1E=")</f>
        <v>#REF!</v>
      </c>
      <c r="CE3" t="e">
        <f>AND(Hoja1!R25,"AAAAAB9er1I=")</f>
        <v>#VALUE!</v>
      </c>
      <c r="CF3" t="e">
        <f>AND(Hoja1!S25,"AAAAAB9er1M=")</f>
        <v>#VALUE!</v>
      </c>
      <c r="CG3" t="e">
        <f>AND(Hoja1!T25,"AAAAAB9er1Q=")</f>
        <v>#VALUE!</v>
      </c>
      <c r="CH3" t="e">
        <f>AND(Hoja1!U25,"AAAAAB9er1U=")</f>
        <v>#VALUE!</v>
      </c>
      <c r="CI3">
        <f>IF(Hoja1!26:26,"AAAAAB9er1Y=",0)</f>
        <v>0</v>
      </c>
      <c r="CJ3" t="e">
        <f>AND(Hoja1!A26,"AAAAAB9er1c=")</f>
        <v>#VALUE!</v>
      </c>
      <c r="CK3" t="e">
        <f>AND(Hoja1!B26,"AAAAAB9er1g=")</f>
        <v>#VALUE!</v>
      </c>
      <c r="CL3" t="e">
        <f>AND(Hoja1!C26,"AAAAAB9er1k=")</f>
        <v>#VALUE!</v>
      </c>
      <c r="CM3" t="e">
        <f>AND(Hoja1!D26,"AAAAAB9er1o=")</f>
        <v>#VALUE!</v>
      </c>
      <c r="CN3" t="e">
        <f>AND(Hoja1!E26,"AAAAAB9er1s=")</f>
        <v>#VALUE!</v>
      </c>
      <c r="CO3" t="e">
        <f>AND(Hoja1!F26,"AAAAAB9er1w=")</f>
        <v>#VALUE!</v>
      </c>
      <c r="CP3" t="e">
        <f>AND(Hoja1!G26,"AAAAAB9er10=")</f>
        <v>#VALUE!</v>
      </c>
      <c r="CQ3" t="e">
        <f>AND(Hoja1!H26,"AAAAAB9er14=")</f>
        <v>#VALUE!</v>
      </c>
      <c r="CR3" t="e">
        <f>AND(Hoja1!I26,"AAAAAB9er18=")</f>
        <v>#VALUE!</v>
      </c>
      <c r="CS3" t="e">
        <f>AND(Hoja1!J26,"AAAAAB9er2A=")</f>
        <v>#VALUE!</v>
      </c>
      <c r="CT3" t="e">
        <f>AND(Hoja1!K26,"AAAAAB9er2E=")</f>
        <v>#VALUE!</v>
      </c>
      <c r="CU3" t="e">
        <f>AND(Hoja1!L26,"AAAAAB9er2I=")</f>
        <v>#VALUE!</v>
      </c>
      <c r="CV3" t="e">
        <f>AND(Hoja1!M26,"AAAAAB9er2M=")</f>
        <v>#VALUE!</v>
      </c>
      <c r="CW3" t="e">
        <f>AND(Hoja1!N26,"AAAAAB9er2Q=")</f>
        <v>#VALUE!</v>
      </c>
      <c r="CX3" t="e">
        <f>AND(Hoja1!O26,"AAAAAB9er2U=")</f>
        <v>#VALUE!</v>
      </c>
      <c r="CY3" t="e">
        <f>AND(Hoja1!P26,"AAAAAB9er2Y=")</f>
        <v>#VALUE!</v>
      </c>
      <c r="CZ3" t="e">
        <f>AND(Hoja1!Q26,"AAAAAB9er2c=")</f>
        <v>#VALUE!</v>
      </c>
      <c r="DA3" t="e">
        <f>AND(Hoja1!#REF!,"AAAAAB9er2g=")</f>
        <v>#REF!</v>
      </c>
      <c r="DB3" t="e">
        <f>AND(Hoja1!R26,"AAAAAB9er2k=")</f>
        <v>#VALUE!</v>
      </c>
      <c r="DC3" t="e">
        <f>AND(Hoja1!S26,"AAAAAB9er2o=")</f>
        <v>#VALUE!</v>
      </c>
      <c r="DD3" t="e">
        <f>AND(Hoja1!T26,"AAAAAB9er2s=")</f>
        <v>#VALUE!</v>
      </c>
      <c r="DE3" t="e">
        <f>AND(Hoja1!U26,"AAAAAB9er2w=")</f>
        <v>#VALUE!</v>
      </c>
      <c r="DF3">
        <f>IF(Hoja1!27:27,"AAAAAB9er20=",0)</f>
        <v>0</v>
      </c>
      <c r="DG3" t="e">
        <f>AND(Hoja1!A27,"AAAAAB9er24=")</f>
        <v>#VALUE!</v>
      </c>
      <c r="DH3" t="e">
        <f>AND(Hoja1!B27,"AAAAAB9er28=")</f>
        <v>#VALUE!</v>
      </c>
      <c r="DI3" t="e">
        <f>AND(Hoja1!C27,"AAAAAB9er3A=")</f>
        <v>#VALUE!</v>
      </c>
      <c r="DJ3" t="e">
        <f>AND(Hoja1!D27,"AAAAAB9er3E=")</f>
        <v>#VALUE!</v>
      </c>
      <c r="DK3" t="e">
        <f>AND(Hoja1!E27,"AAAAAB9er3I=")</f>
        <v>#VALUE!</v>
      </c>
      <c r="DL3" t="e">
        <f>AND(Hoja1!F27,"AAAAAB9er3M=")</f>
        <v>#VALUE!</v>
      </c>
      <c r="DM3" t="e">
        <f>AND(Hoja1!G27,"AAAAAB9er3Q=")</f>
        <v>#VALUE!</v>
      </c>
      <c r="DN3" t="e">
        <f>AND(Hoja1!H27,"AAAAAB9er3U=")</f>
        <v>#VALUE!</v>
      </c>
      <c r="DO3" t="e">
        <f>AND(Hoja1!I27,"AAAAAB9er3Y=")</f>
        <v>#VALUE!</v>
      </c>
      <c r="DP3" t="e">
        <f>AND(Hoja1!J27,"AAAAAB9er3c=")</f>
        <v>#VALUE!</v>
      </c>
      <c r="DQ3" t="e">
        <f>AND(Hoja1!K27,"AAAAAB9er3g=")</f>
        <v>#VALUE!</v>
      </c>
      <c r="DR3" t="e">
        <f>AND(Hoja1!L27,"AAAAAB9er3k=")</f>
        <v>#VALUE!</v>
      </c>
      <c r="DS3" t="e">
        <f>AND(Hoja1!M27,"AAAAAB9er3o=")</f>
        <v>#VALUE!</v>
      </c>
      <c r="DT3" t="e">
        <f>AND(Hoja1!N27,"AAAAAB9er3s=")</f>
        <v>#VALUE!</v>
      </c>
      <c r="DU3" t="e">
        <f>AND(Hoja1!O27,"AAAAAB9er3w=")</f>
        <v>#VALUE!</v>
      </c>
      <c r="DV3" t="e">
        <f>AND(Hoja1!P27,"AAAAAB9er30=")</f>
        <v>#VALUE!</v>
      </c>
      <c r="DW3" t="e">
        <f>AND(Hoja1!Q27,"AAAAAB9er34=")</f>
        <v>#VALUE!</v>
      </c>
      <c r="DX3" t="e">
        <f>AND(Hoja1!#REF!,"AAAAAB9er38=")</f>
        <v>#REF!</v>
      </c>
      <c r="DY3" t="e">
        <f>AND(Hoja1!R27,"AAAAAB9er4A=")</f>
        <v>#VALUE!</v>
      </c>
      <c r="DZ3" t="e">
        <f>AND(Hoja1!S27,"AAAAAB9er4E=")</f>
        <v>#VALUE!</v>
      </c>
      <c r="EA3" t="e">
        <f>AND(Hoja1!T27,"AAAAAB9er4I=")</f>
        <v>#VALUE!</v>
      </c>
      <c r="EB3" t="e">
        <f>AND(Hoja1!U27,"AAAAAB9er4M=")</f>
        <v>#VALUE!</v>
      </c>
      <c r="EC3">
        <f>IF(Hoja1!28:28,"AAAAAB9er4Q=",0)</f>
        <v>0</v>
      </c>
      <c r="ED3" t="e">
        <f>AND(Hoja1!A28,"AAAAAB9er4U=")</f>
        <v>#VALUE!</v>
      </c>
      <c r="EE3" t="e">
        <f>AND(Hoja1!B28,"AAAAAB9er4Y=")</f>
        <v>#VALUE!</v>
      </c>
      <c r="EF3" t="e">
        <f>AND(Hoja1!C28,"AAAAAB9er4c=")</f>
        <v>#VALUE!</v>
      </c>
      <c r="EG3" t="e">
        <f>AND(Hoja1!D28,"AAAAAB9er4g=")</f>
        <v>#VALUE!</v>
      </c>
      <c r="EH3" t="e">
        <f>AND(Hoja1!E28,"AAAAAB9er4k=")</f>
        <v>#VALUE!</v>
      </c>
      <c r="EI3" t="e">
        <f>AND(Hoja1!F28,"AAAAAB9er4o=")</f>
        <v>#VALUE!</v>
      </c>
      <c r="EJ3" t="e">
        <f>AND(Hoja1!G28,"AAAAAB9er4s=")</f>
        <v>#VALUE!</v>
      </c>
      <c r="EK3" t="e">
        <f>AND(Hoja1!H28,"AAAAAB9er4w=")</f>
        <v>#VALUE!</v>
      </c>
      <c r="EL3" t="e">
        <f>AND(Hoja1!I28,"AAAAAB9er40=")</f>
        <v>#VALUE!</v>
      </c>
      <c r="EM3" t="e">
        <f>AND(Hoja1!J28,"AAAAAB9er44=")</f>
        <v>#VALUE!</v>
      </c>
      <c r="EN3" t="e">
        <f>AND(Hoja1!K28,"AAAAAB9er48=")</f>
        <v>#VALUE!</v>
      </c>
      <c r="EO3" t="e">
        <f>AND(Hoja1!L28,"AAAAAB9er5A=")</f>
        <v>#VALUE!</v>
      </c>
      <c r="EP3" t="e">
        <f>AND(Hoja1!M28,"AAAAAB9er5E=")</f>
        <v>#VALUE!</v>
      </c>
      <c r="EQ3" t="e">
        <f>AND(Hoja1!N28,"AAAAAB9er5I=")</f>
        <v>#VALUE!</v>
      </c>
      <c r="ER3" t="e">
        <f>AND(Hoja1!O28,"AAAAAB9er5M=")</f>
        <v>#VALUE!</v>
      </c>
      <c r="ES3" t="e">
        <f>AND(Hoja1!P28,"AAAAAB9er5Q=")</f>
        <v>#VALUE!</v>
      </c>
      <c r="ET3" t="e">
        <f>AND(Hoja1!Q28,"AAAAAB9er5U=")</f>
        <v>#VALUE!</v>
      </c>
      <c r="EU3" t="e">
        <f>AND(Hoja1!#REF!,"AAAAAB9er5Y=")</f>
        <v>#REF!</v>
      </c>
      <c r="EV3" t="e">
        <f>AND(Hoja1!R28,"AAAAAB9er5c=")</f>
        <v>#VALUE!</v>
      </c>
      <c r="EW3" t="e">
        <f>AND(Hoja1!S28,"AAAAAB9er5g=")</f>
        <v>#VALUE!</v>
      </c>
      <c r="EX3" t="e">
        <f>AND(Hoja1!T28,"AAAAAB9er5k=")</f>
        <v>#VALUE!</v>
      </c>
      <c r="EY3" t="e">
        <f>AND(Hoja1!U28,"AAAAAB9er5o=")</f>
        <v>#VALUE!</v>
      </c>
      <c r="EZ3">
        <f>IF(Hoja1!29:29,"AAAAAB9er5s=",0)</f>
        <v>0</v>
      </c>
      <c r="FA3" t="e">
        <f>AND(Hoja1!A29,"AAAAAB9er5w=")</f>
        <v>#VALUE!</v>
      </c>
      <c r="FB3" t="e">
        <f>AND(Hoja1!B29,"AAAAAB9er50=")</f>
        <v>#VALUE!</v>
      </c>
      <c r="FC3" t="e">
        <f>AND(Hoja1!C29,"AAAAAB9er54=")</f>
        <v>#VALUE!</v>
      </c>
      <c r="FD3" t="e">
        <f>AND(Hoja1!D29,"AAAAAB9er58=")</f>
        <v>#VALUE!</v>
      </c>
      <c r="FE3" t="e">
        <f>AND(Hoja1!E29,"AAAAAB9er6A=")</f>
        <v>#VALUE!</v>
      </c>
      <c r="FF3" t="e">
        <f>AND(Hoja1!F29,"AAAAAB9er6E=")</f>
        <v>#VALUE!</v>
      </c>
      <c r="FG3" t="e">
        <f>AND(Hoja1!G29,"AAAAAB9er6I=")</f>
        <v>#VALUE!</v>
      </c>
      <c r="FH3" t="e">
        <f>AND(Hoja1!H29,"AAAAAB9er6M=")</f>
        <v>#VALUE!</v>
      </c>
      <c r="FI3" t="e">
        <f>AND(Hoja1!I29,"AAAAAB9er6Q=")</f>
        <v>#VALUE!</v>
      </c>
      <c r="FJ3" t="e">
        <f>AND(Hoja1!J29,"AAAAAB9er6U=")</f>
        <v>#VALUE!</v>
      </c>
      <c r="FK3" t="e">
        <f>AND(Hoja1!K29,"AAAAAB9er6Y=")</f>
        <v>#VALUE!</v>
      </c>
      <c r="FL3" t="e">
        <f>AND(Hoja1!L29,"AAAAAB9er6c=")</f>
        <v>#VALUE!</v>
      </c>
      <c r="FM3" t="e">
        <f>AND(Hoja1!M29,"AAAAAB9er6g=")</f>
        <v>#VALUE!</v>
      </c>
      <c r="FN3" t="e">
        <f>AND(Hoja1!N29,"AAAAAB9er6k=")</f>
        <v>#VALUE!</v>
      </c>
      <c r="FO3" t="e">
        <f>AND(Hoja1!O29,"AAAAAB9er6o=")</f>
        <v>#VALUE!</v>
      </c>
      <c r="FP3" t="e">
        <f>AND(Hoja1!P29,"AAAAAB9er6s=")</f>
        <v>#VALUE!</v>
      </c>
      <c r="FQ3" t="e">
        <f>AND(Hoja1!Q29,"AAAAAB9er6w=")</f>
        <v>#VALUE!</v>
      </c>
      <c r="FR3" t="e">
        <f>AND(Hoja1!#REF!,"AAAAAB9er60=")</f>
        <v>#REF!</v>
      </c>
      <c r="FS3" t="e">
        <f>AND(Hoja1!R29,"AAAAAB9er64=")</f>
        <v>#VALUE!</v>
      </c>
      <c r="FT3" t="e">
        <f>AND(Hoja1!S29,"AAAAAB9er68=")</f>
        <v>#VALUE!</v>
      </c>
      <c r="FU3" t="e">
        <f>AND(Hoja1!T29,"AAAAAB9er7A=")</f>
        <v>#VALUE!</v>
      </c>
      <c r="FV3" t="e">
        <f>AND(Hoja1!U29,"AAAAAB9er7E=")</f>
        <v>#VALUE!</v>
      </c>
      <c r="FW3">
        <f>IF(Hoja1!30:30,"AAAAAB9er7I=",0)</f>
        <v>0</v>
      </c>
      <c r="FX3" t="e">
        <f>AND(Hoja1!A30,"AAAAAB9er7M=")</f>
        <v>#VALUE!</v>
      </c>
      <c r="FY3" t="e">
        <f>AND(Hoja1!B30,"AAAAAB9er7Q=")</f>
        <v>#VALUE!</v>
      </c>
      <c r="FZ3" t="e">
        <f>AND(Hoja1!C30,"AAAAAB9er7U=")</f>
        <v>#VALUE!</v>
      </c>
      <c r="GA3" t="e">
        <f>AND(Hoja1!D30,"AAAAAB9er7Y=")</f>
        <v>#VALUE!</v>
      </c>
      <c r="GB3" t="e">
        <f>AND(Hoja1!E30,"AAAAAB9er7c=")</f>
        <v>#VALUE!</v>
      </c>
      <c r="GC3" t="e">
        <f>AND(Hoja1!F30,"AAAAAB9er7g=")</f>
        <v>#VALUE!</v>
      </c>
      <c r="GD3" t="e">
        <f>AND(Hoja1!G30,"AAAAAB9er7k=")</f>
        <v>#VALUE!</v>
      </c>
      <c r="GE3" t="e">
        <f>AND(Hoja1!H30,"AAAAAB9er7o=")</f>
        <v>#VALUE!</v>
      </c>
      <c r="GF3" t="e">
        <f>AND(Hoja1!I30,"AAAAAB9er7s=")</f>
        <v>#VALUE!</v>
      </c>
      <c r="GG3" t="e">
        <f>AND(Hoja1!J30,"AAAAAB9er7w=")</f>
        <v>#VALUE!</v>
      </c>
      <c r="GH3" t="e">
        <f>AND(Hoja1!K30,"AAAAAB9er70=")</f>
        <v>#VALUE!</v>
      </c>
      <c r="GI3" t="e">
        <f>AND(Hoja1!L30,"AAAAAB9er74=")</f>
        <v>#VALUE!</v>
      </c>
      <c r="GJ3" t="e">
        <f>AND(Hoja1!M30,"AAAAAB9er78=")</f>
        <v>#VALUE!</v>
      </c>
      <c r="GK3" t="e">
        <f>AND(Hoja1!N30,"AAAAAB9er8A=")</f>
        <v>#VALUE!</v>
      </c>
      <c r="GL3" t="e">
        <f>AND(Hoja1!O30,"AAAAAB9er8E=")</f>
        <v>#VALUE!</v>
      </c>
      <c r="GM3" t="e">
        <f>AND(Hoja1!P30,"AAAAAB9er8I=")</f>
        <v>#VALUE!</v>
      </c>
      <c r="GN3" t="e">
        <f>AND(Hoja1!Q30,"AAAAAB9er8M=")</f>
        <v>#VALUE!</v>
      </c>
      <c r="GO3" t="e">
        <f>AND(Hoja1!#REF!,"AAAAAB9er8Q=")</f>
        <v>#REF!</v>
      </c>
      <c r="GP3" t="e">
        <f>AND(Hoja1!R30,"AAAAAB9er8U=")</f>
        <v>#VALUE!</v>
      </c>
      <c r="GQ3" t="e">
        <f>AND(Hoja1!S30,"AAAAAB9er8Y=")</f>
        <v>#VALUE!</v>
      </c>
      <c r="GR3" t="e">
        <f>AND(Hoja1!T30,"AAAAAB9er8c=")</f>
        <v>#VALUE!</v>
      </c>
      <c r="GS3" t="e">
        <f>AND(Hoja1!U30,"AAAAAB9er8g=")</f>
        <v>#VALUE!</v>
      </c>
      <c r="GT3">
        <f>IF(Hoja1!31:31,"AAAAAB9er8k=",0)</f>
        <v>0</v>
      </c>
      <c r="GU3" t="e">
        <f>AND(Hoja1!A31,"AAAAAB9er8o=")</f>
        <v>#VALUE!</v>
      </c>
      <c r="GV3" t="e">
        <f>AND(Hoja1!B31,"AAAAAB9er8s=")</f>
        <v>#VALUE!</v>
      </c>
      <c r="GW3" t="e">
        <f>AND(Hoja1!C31,"AAAAAB9er8w=")</f>
        <v>#VALUE!</v>
      </c>
      <c r="GX3" t="e">
        <f>AND(Hoja1!D31,"AAAAAB9er80=")</f>
        <v>#VALUE!</v>
      </c>
      <c r="GY3" t="e">
        <f>AND(Hoja1!E31,"AAAAAB9er84=")</f>
        <v>#VALUE!</v>
      </c>
      <c r="GZ3" t="e">
        <f>AND(Hoja1!F31,"AAAAAB9er88=")</f>
        <v>#VALUE!</v>
      </c>
      <c r="HA3" t="e">
        <f>AND(Hoja1!G31,"AAAAAB9er9A=")</f>
        <v>#VALUE!</v>
      </c>
      <c r="HB3" t="e">
        <f>AND(Hoja1!H31,"AAAAAB9er9E=")</f>
        <v>#VALUE!</v>
      </c>
      <c r="HC3" t="e">
        <f>AND(Hoja1!I31,"AAAAAB9er9I=")</f>
        <v>#VALUE!</v>
      </c>
      <c r="HD3" t="e">
        <f>AND(Hoja1!J31,"AAAAAB9er9M=")</f>
        <v>#VALUE!</v>
      </c>
      <c r="HE3" t="e">
        <f>AND(Hoja1!K31,"AAAAAB9er9Q=")</f>
        <v>#VALUE!</v>
      </c>
      <c r="HF3" t="e">
        <f>AND(Hoja1!L31,"AAAAAB9er9U=")</f>
        <v>#VALUE!</v>
      </c>
      <c r="HG3" t="e">
        <f>AND(Hoja1!M31,"AAAAAB9er9Y=")</f>
        <v>#VALUE!</v>
      </c>
      <c r="HH3" t="e">
        <f>AND(Hoja1!N31,"AAAAAB9er9c=")</f>
        <v>#VALUE!</v>
      </c>
      <c r="HI3" t="e">
        <f>AND(Hoja1!O31,"AAAAAB9er9g=")</f>
        <v>#VALUE!</v>
      </c>
      <c r="HJ3" t="e">
        <f>AND(Hoja1!P31,"AAAAAB9er9k=")</f>
        <v>#VALUE!</v>
      </c>
      <c r="HK3" t="e">
        <f>AND(Hoja1!Q31,"AAAAAB9er9o=")</f>
        <v>#VALUE!</v>
      </c>
      <c r="HL3" t="e">
        <f>AND(Hoja1!#REF!,"AAAAAB9er9s=")</f>
        <v>#REF!</v>
      </c>
      <c r="HM3" t="e">
        <f>AND(Hoja1!R31,"AAAAAB9er9w=")</f>
        <v>#VALUE!</v>
      </c>
      <c r="HN3" t="e">
        <f>AND(Hoja1!S31,"AAAAAB9er90=")</f>
        <v>#VALUE!</v>
      </c>
      <c r="HO3" t="e">
        <f>AND(Hoja1!T31,"AAAAAB9er94=")</f>
        <v>#VALUE!</v>
      </c>
      <c r="HP3" t="e">
        <f>AND(Hoja1!U31,"AAAAAB9er98=")</f>
        <v>#VALUE!</v>
      </c>
      <c r="HQ3">
        <f>IF(Hoja1!32:32,"AAAAAB9er+A=",0)</f>
        <v>0</v>
      </c>
      <c r="HR3" t="e">
        <f>AND(Hoja1!A32,"AAAAAB9er+E=")</f>
        <v>#VALUE!</v>
      </c>
      <c r="HS3" t="e">
        <f>AND(Hoja1!B32,"AAAAAB9er+I=")</f>
        <v>#VALUE!</v>
      </c>
      <c r="HT3" t="e">
        <f>AND(Hoja1!C32,"AAAAAB9er+M=")</f>
        <v>#VALUE!</v>
      </c>
      <c r="HU3" t="e">
        <f>AND(Hoja1!D32,"AAAAAB9er+Q=")</f>
        <v>#VALUE!</v>
      </c>
      <c r="HV3" t="e">
        <f>AND(Hoja1!E32,"AAAAAB9er+U=")</f>
        <v>#VALUE!</v>
      </c>
      <c r="HW3" t="e">
        <f>AND(Hoja1!F32,"AAAAAB9er+Y=")</f>
        <v>#VALUE!</v>
      </c>
      <c r="HX3" t="e">
        <f>AND(Hoja1!G32,"AAAAAB9er+c=")</f>
        <v>#VALUE!</v>
      </c>
      <c r="HY3" t="e">
        <f>AND(Hoja1!H32,"AAAAAB9er+g=")</f>
        <v>#VALUE!</v>
      </c>
      <c r="HZ3" t="e">
        <f>AND(Hoja1!I32,"AAAAAB9er+k=")</f>
        <v>#VALUE!</v>
      </c>
      <c r="IA3" t="e">
        <f>AND(Hoja1!J32,"AAAAAB9er+o=")</f>
        <v>#VALUE!</v>
      </c>
      <c r="IB3" t="e">
        <f>AND(Hoja1!K32,"AAAAAB9er+s=")</f>
        <v>#VALUE!</v>
      </c>
      <c r="IC3" t="e">
        <f>AND(Hoja1!L32,"AAAAAB9er+w=")</f>
        <v>#VALUE!</v>
      </c>
      <c r="ID3" t="e">
        <f>AND(Hoja1!M32,"AAAAAB9er+0=")</f>
        <v>#VALUE!</v>
      </c>
      <c r="IE3" t="e">
        <f>AND(Hoja1!N32,"AAAAAB9er+4=")</f>
        <v>#VALUE!</v>
      </c>
      <c r="IF3" t="e">
        <f>AND(Hoja1!O32,"AAAAAB9er+8=")</f>
        <v>#VALUE!</v>
      </c>
      <c r="IG3" t="e">
        <f>AND(Hoja1!P32,"AAAAAB9er/A=")</f>
        <v>#VALUE!</v>
      </c>
      <c r="IH3" t="e">
        <f>AND(Hoja1!Q32,"AAAAAB9er/E=")</f>
        <v>#VALUE!</v>
      </c>
      <c r="II3" t="e">
        <f>AND(Hoja1!#REF!,"AAAAAB9er/I=")</f>
        <v>#REF!</v>
      </c>
      <c r="IJ3" t="e">
        <f>AND(Hoja1!R32,"AAAAAB9er/M=")</f>
        <v>#VALUE!</v>
      </c>
      <c r="IK3" t="e">
        <f>AND(Hoja1!S32,"AAAAAB9er/Q=")</f>
        <v>#VALUE!</v>
      </c>
      <c r="IL3" t="e">
        <f>AND(Hoja1!T32,"AAAAAB9er/U=")</f>
        <v>#VALUE!</v>
      </c>
      <c r="IM3" t="e">
        <f>AND(Hoja1!U32,"AAAAAB9er/Y=")</f>
        <v>#VALUE!</v>
      </c>
      <c r="IN3" t="e">
        <f>IF(Hoja1!#REF!,"AAAAAB9er/c=",0)</f>
        <v>#REF!</v>
      </c>
      <c r="IO3" t="e">
        <f>AND(Hoja1!#REF!,"AAAAAB9er/g=")</f>
        <v>#REF!</v>
      </c>
      <c r="IP3" t="e">
        <f>AND(Hoja1!#REF!,"AAAAAB9er/k=")</f>
        <v>#REF!</v>
      </c>
      <c r="IQ3" t="e">
        <f>AND(Hoja1!#REF!,"AAAAAB9er/o=")</f>
        <v>#REF!</v>
      </c>
      <c r="IR3" t="e">
        <f>AND(Hoja1!#REF!,"AAAAAB9er/s=")</f>
        <v>#REF!</v>
      </c>
      <c r="IS3" t="e">
        <f>AND(Hoja1!#REF!,"AAAAAB9er/w=")</f>
        <v>#REF!</v>
      </c>
      <c r="IT3" t="e">
        <f>AND(Hoja1!#REF!,"AAAAAB9er/0=")</f>
        <v>#REF!</v>
      </c>
      <c r="IU3" t="e">
        <f>AND(Hoja1!#REF!,"AAAAAB9er/4=")</f>
        <v>#REF!</v>
      </c>
      <c r="IV3" t="e">
        <f>AND(Hoja1!#REF!,"AAAAAB9er/8=")</f>
        <v>#REF!</v>
      </c>
    </row>
    <row r="4" spans="1:115" ht="15">
      <c r="A4" t="e">
        <f>AND(Hoja1!#REF!,"AAAAAF752gA=")</f>
        <v>#REF!</v>
      </c>
      <c r="B4" t="e">
        <f>AND(Hoja1!#REF!,"AAAAAF752gE=")</f>
        <v>#REF!</v>
      </c>
      <c r="C4" t="e">
        <f>AND(Hoja1!#REF!,"AAAAAF752gI=")</f>
        <v>#REF!</v>
      </c>
      <c r="D4" t="e">
        <f>AND(Hoja1!#REF!,"AAAAAF752gM=")</f>
        <v>#REF!</v>
      </c>
      <c r="E4" t="e">
        <f>AND(Hoja1!#REF!,"AAAAAF752gQ=")</f>
        <v>#REF!</v>
      </c>
      <c r="F4" t="e">
        <f>AND(Hoja1!#REF!,"AAAAAF752gU=")</f>
        <v>#REF!</v>
      </c>
      <c r="G4" t="e">
        <f>AND(Hoja1!#REF!,"AAAAAF752gY=")</f>
        <v>#REF!</v>
      </c>
      <c r="H4" t="e">
        <f>AND(Hoja1!#REF!,"AAAAAF752gc=")</f>
        <v>#REF!</v>
      </c>
      <c r="I4" t="e">
        <f>AND(Hoja1!#REF!,"AAAAAF752gg=")</f>
        <v>#REF!</v>
      </c>
      <c r="J4" t="e">
        <f>AND(Hoja1!#REF!,"AAAAAF752gk=")</f>
        <v>#REF!</v>
      </c>
      <c r="K4" t="e">
        <f>AND(Hoja1!#REF!,"AAAAAF752go=")</f>
        <v>#REF!</v>
      </c>
      <c r="L4" t="e">
        <f>AND(Hoja1!#REF!,"AAAAAF752gs=")</f>
        <v>#REF!</v>
      </c>
      <c r="M4" t="e">
        <f>AND(Hoja1!#REF!,"AAAAAF752gw=")</f>
        <v>#REF!</v>
      </c>
      <c r="N4" t="e">
        <f>AND(Hoja1!#REF!,"AAAAAF752g0=")</f>
        <v>#REF!</v>
      </c>
      <c r="O4" t="e">
        <f>IF(Hoja1!#REF!,"AAAAAF752g4=",0)</f>
        <v>#REF!</v>
      </c>
      <c r="P4" t="e">
        <f>AND(Hoja1!#REF!,"AAAAAF752g8=")</f>
        <v>#REF!</v>
      </c>
      <c r="Q4" t="e">
        <f>AND(Hoja1!#REF!,"AAAAAF752hA=")</f>
        <v>#REF!</v>
      </c>
      <c r="R4" t="e">
        <f>AND(Hoja1!#REF!,"AAAAAF752hE=")</f>
        <v>#REF!</v>
      </c>
      <c r="S4" t="e">
        <f>AND(Hoja1!#REF!,"AAAAAF752hI=")</f>
        <v>#REF!</v>
      </c>
      <c r="T4" t="e">
        <f>AND(Hoja1!#REF!,"AAAAAF752hM=")</f>
        <v>#REF!</v>
      </c>
      <c r="U4" t="e">
        <f>AND(Hoja1!#REF!,"AAAAAF752hQ=")</f>
        <v>#REF!</v>
      </c>
      <c r="V4" t="e">
        <f>AND(Hoja1!#REF!,"AAAAAF752hU=")</f>
        <v>#REF!</v>
      </c>
      <c r="W4" t="e">
        <f>AND(Hoja1!#REF!,"AAAAAF752hY=")</f>
        <v>#REF!</v>
      </c>
      <c r="X4" t="e">
        <f>AND(Hoja1!#REF!,"AAAAAF752hc=")</f>
        <v>#REF!</v>
      </c>
      <c r="Y4" t="e">
        <f>AND(Hoja1!#REF!,"AAAAAF752hg=")</f>
        <v>#REF!</v>
      </c>
      <c r="Z4" t="e">
        <f>AND(Hoja1!#REF!,"AAAAAF752hk=")</f>
        <v>#REF!</v>
      </c>
      <c r="AA4" t="e">
        <f>AND(Hoja1!#REF!,"AAAAAF752ho=")</f>
        <v>#REF!</v>
      </c>
      <c r="AB4" t="e">
        <f>AND(Hoja1!#REF!,"AAAAAF752hs=")</f>
        <v>#REF!</v>
      </c>
      <c r="AC4" t="e">
        <f>AND(Hoja1!#REF!,"AAAAAF752hw=")</f>
        <v>#REF!</v>
      </c>
      <c r="AD4" t="e">
        <f>AND(Hoja1!#REF!,"AAAAAF752h0=")</f>
        <v>#REF!</v>
      </c>
      <c r="AE4" t="e">
        <f>AND(Hoja1!#REF!,"AAAAAF752h4=")</f>
        <v>#REF!</v>
      </c>
      <c r="AF4" t="e">
        <f>AND(Hoja1!#REF!,"AAAAAF752h8=")</f>
        <v>#REF!</v>
      </c>
      <c r="AG4" t="e">
        <f>AND(Hoja1!#REF!,"AAAAAF752iA=")</f>
        <v>#REF!</v>
      </c>
      <c r="AH4" t="e">
        <f>AND(Hoja1!#REF!,"AAAAAF752iE=")</f>
        <v>#REF!</v>
      </c>
      <c r="AI4" t="e">
        <f>AND(Hoja1!#REF!,"AAAAAF752iI=")</f>
        <v>#REF!</v>
      </c>
      <c r="AJ4" t="e">
        <f>AND(Hoja1!#REF!,"AAAAAF752iM=")</f>
        <v>#REF!</v>
      </c>
      <c r="AK4" t="e">
        <f>AND(Hoja1!#REF!,"AAAAAF752iQ=")</f>
        <v>#REF!</v>
      </c>
      <c r="AL4" t="e">
        <f>IF(Hoja1!#REF!,"AAAAAF752iU=",0)</f>
        <v>#REF!</v>
      </c>
      <c r="AM4" t="e">
        <f>AND(Hoja1!#REF!,"AAAAAF752iY=")</f>
        <v>#REF!</v>
      </c>
      <c r="AN4" t="e">
        <f>AND(Hoja1!#REF!,"AAAAAF752ic=")</f>
        <v>#REF!</v>
      </c>
      <c r="AO4" t="e">
        <f>AND(Hoja1!#REF!,"AAAAAF752ig=")</f>
        <v>#REF!</v>
      </c>
      <c r="AP4" t="e">
        <f>AND(Hoja1!#REF!,"AAAAAF752ik=")</f>
        <v>#REF!</v>
      </c>
      <c r="AQ4" t="e">
        <f>AND(Hoja1!#REF!,"AAAAAF752io=")</f>
        <v>#REF!</v>
      </c>
      <c r="AR4" t="e">
        <f>AND(Hoja1!#REF!,"AAAAAF752is=")</f>
        <v>#REF!</v>
      </c>
      <c r="AS4" t="e">
        <f>AND(Hoja1!#REF!,"AAAAAF752iw=")</f>
        <v>#REF!</v>
      </c>
      <c r="AT4" t="e">
        <f>AND(Hoja1!#REF!,"AAAAAF752i0=")</f>
        <v>#REF!</v>
      </c>
      <c r="AU4" t="e">
        <f>AND(Hoja1!#REF!,"AAAAAF752i4=")</f>
        <v>#REF!</v>
      </c>
      <c r="AV4" t="e">
        <f>AND(Hoja1!#REF!,"AAAAAF752i8=")</f>
        <v>#REF!</v>
      </c>
      <c r="AW4" t="e">
        <f>AND(Hoja1!#REF!,"AAAAAF752jA=")</f>
        <v>#REF!</v>
      </c>
      <c r="AX4" t="e">
        <f>AND(Hoja1!#REF!,"AAAAAF752jE=")</f>
        <v>#REF!</v>
      </c>
      <c r="AY4" t="e">
        <f>AND(Hoja1!#REF!,"AAAAAF752jI=")</f>
        <v>#REF!</v>
      </c>
      <c r="AZ4" t="e">
        <f>AND(Hoja1!#REF!,"AAAAAF752jM=")</f>
        <v>#REF!</v>
      </c>
      <c r="BA4" t="e">
        <f>AND(Hoja1!#REF!,"AAAAAF752jQ=")</f>
        <v>#REF!</v>
      </c>
      <c r="BB4" t="e">
        <f>AND(Hoja1!#REF!,"AAAAAF752jU=")</f>
        <v>#REF!</v>
      </c>
      <c r="BC4" t="e">
        <f>AND(Hoja1!#REF!,"AAAAAF752jY=")</f>
        <v>#REF!</v>
      </c>
      <c r="BD4" t="e">
        <f>AND(Hoja1!#REF!,"AAAAAF752jc=")</f>
        <v>#REF!</v>
      </c>
      <c r="BE4" t="e">
        <f>AND(Hoja1!#REF!,"AAAAAF752jg=")</f>
        <v>#REF!</v>
      </c>
      <c r="BF4" t="e">
        <f>AND(Hoja1!#REF!,"AAAAAF752jk=")</f>
        <v>#REF!</v>
      </c>
      <c r="BG4" t="e">
        <f>AND(Hoja1!#REF!,"AAAAAF752jo=")</f>
        <v>#REF!</v>
      </c>
      <c r="BH4" t="e">
        <f>AND(Hoja1!#REF!,"AAAAAF752js=")</f>
        <v>#REF!</v>
      </c>
      <c r="BI4" t="e">
        <f>IF(Hoja1!#REF!,"AAAAAF752jw=",0)</f>
        <v>#REF!</v>
      </c>
      <c r="BJ4" t="e">
        <f>AND(Hoja1!#REF!,"AAAAAF752j0=")</f>
        <v>#REF!</v>
      </c>
      <c r="BK4" t="e">
        <f>AND(Hoja1!#REF!,"AAAAAF752j4=")</f>
        <v>#REF!</v>
      </c>
      <c r="BL4" t="e">
        <f>AND(Hoja1!#REF!,"AAAAAF752j8=")</f>
        <v>#REF!</v>
      </c>
      <c r="BM4" t="e">
        <f>AND(Hoja1!#REF!,"AAAAAF752kA=")</f>
        <v>#REF!</v>
      </c>
      <c r="BN4" t="e">
        <f>AND(Hoja1!#REF!,"AAAAAF752kE=")</f>
        <v>#REF!</v>
      </c>
      <c r="BO4" t="e">
        <f>AND(Hoja1!#REF!,"AAAAAF752kI=")</f>
        <v>#REF!</v>
      </c>
      <c r="BP4" t="e">
        <f>AND(Hoja1!#REF!,"AAAAAF752kM=")</f>
        <v>#REF!</v>
      </c>
      <c r="BQ4" t="e">
        <f>AND(Hoja1!#REF!,"AAAAAF752kQ=")</f>
        <v>#REF!</v>
      </c>
      <c r="BR4" t="e">
        <f>AND(Hoja1!#REF!,"AAAAAF752kU=")</f>
        <v>#REF!</v>
      </c>
      <c r="BS4" t="e">
        <f>AND(Hoja1!#REF!,"AAAAAF752kY=")</f>
        <v>#REF!</v>
      </c>
      <c r="BT4" t="e">
        <f>AND(Hoja1!#REF!,"AAAAAF752kc=")</f>
        <v>#REF!</v>
      </c>
      <c r="BU4" t="e">
        <f>AND(Hoja1!#REF!,"AAAAAF752kg=")</f>
        <v>#REF!</v>
      </c>
      <c r="BV4" t="e">
        <f>AND(Hoja1!#REF!,"AAAAAF752kk=")</f>
        <v>#REF!</v>
      </c>
      <c r="BW4" t="e">
        <f>AND(Hoja1!#REF!,"AAAAAF752ko=")</f>
        <v>#REF!</v>
      </c>
      <c r="BX4" t="e">
        <f>AND(Hoja1!#REF!,"AAAAAF752ks=")</f>
        <v>#REF!</v>
      </c>
      <c r="BY4" t="e">
        <f>AND(Hoja1!#REF!,"AAAAAF752kw=")</f>
        <v>#REF!</v>
      </c>
      <c r="BZ4" t="e">
        <f>AND(Hoja1!#REF!,"AAAAAF752k0=")</f>
        <v>#REF!</v>
      </c>
      <c r="CA4" t="e">
        <f>AND(Hoja1!#REF!,"AAAAAF752k4=")</f>
        <v>#REF!</v>
      </c>
      <c r="CB4" t="e">
        <f>AND(Hoja1!#REF!,"AAAAAF752k8=")</f>
        <v>#REF!</v>
      </c>
      <c r="CC4" t="e">
        <f>AND(Hoja1!#REF!,"AAAAAF752lA=")</f>
        <v>#REF!</v>
      </c>
      <c r="CD4" t="e">
        <f>AND(Hoja1!#REF!,"AAAAAF752lE=")</f>
        <v>#REF!</v>
      </c>
      <c r="CE4" t="e">
        <f>AND(Hoja1!#REF!,"AAAAAF752lI=")</f>
        <v>#REF!</v>
      </c>
      <c r="CF4">
        <f>IF(Hoja1!A:A,"AAAAAF752lM=",0)</f>
        <v>0</v>
      </c>
      <c r="CG4">
        <f>IF(Hoja1!B:B,"AAAAAF752lQ=",0)</f>
        <v>0</v>
      </c>
      <c r="CH4">
        <f>IF(Hoja1!C:C,"AAAAAF752lU=",0)</f>
        <v>0</v>
      </c>
      <c r="CI4">
        <f>IF(Hoja1!D:D,"AAAAAF752lY=",0)</f>
        <v>0</v>
      </c>
      <c r="CJ4">
        <f>IF(Hoja1!E:E,"AAAAAF752lc=",0)</f>
        <v>0</v>
      </c>
      <c r="CK4">
        <f>IF(Hoja1!F:F,"AAAAAF752lg=",0)</f>
        <v>0</v>
      </c>
      <c r="CL4">
        <f>IF(Hoja1!G:G,"AAAAAF752lk=",0)</f>
        <v>0</v>
      </c>
      <c r="CM4">
        <f>IF(Hoja1!H:H,"AAAAAF752lo=",0)</f>
        <v>0</v>
      </c>
      <c r="CN4">
        <f>IF(Hoja1!I:I,"AAAAAF752ls=",0)</f>
        <v>0</v>
      </c>
      <c r="CO4">
        <f>IF(Hoja1!J:J,"AAAAAF752lw=",0)</f>
        <v>0</v>
      </c>
      <c r="CP4">
        <f>IF(Hoja1!K:K,"AAAAAF752l0=",0)</f>
        <v>0</v>
      </c>
      <c r="CQ4">
        <f>IF(Hoja1!L:L,"AAAAAF752l4=",0)</f>
        <v>0</v>
      </c>
      <c r="CR4">
        <f>IF(Hoja1!M:M,"AAAAAF752l8=",0)</f>
        <v>0</v>
      </c>
      <c r="CS4">
        <f>IF(Hoja1!N:N,"AAAAAF752mA=",0)</f>
        <v>0</v>
      </c>
      <c r="CT4">
        <f>IF(Hoja1!O:O,"AAAAAF752mE=",0)</f>
        <v>0</v>
      </c>
      <c r="CU4">
        <f>IF(Hoja1!P:P,"AAAAAF752mI=",0)</f>
        <v>0</v>
      </c>
      <c r="CV4">
        <f>IF(Hoja1!Q:Q,"AAAAAF752mM=",0)</f>
        <v>0</v>
      </c>
      <c r="CW4" t="e">
        <f>IF(Hoja1!#REF!,"AAAAAF752mQ=",0)</f>
        <v>#REF!</v>
      </c>
      <c r="CX4">
        <f>IF(Hoja1!R:R,"AAAAAF752mU=",0)</f>
        <v>0</v>
      </c>
      <c r="CY4">
        <f>IF(Hoja1!S:S,"AAAAAF752mY=",0)</f>
        <v>0</v>
      </c>
      <c r="CZ4">
        <f>IF(Hoja1!T:T,"AAAAAF752mc=",0)</f>
        <v>0</v>
      </c>
      <c r="DA4">
        <f>IF(Hoja1!U:U,"AAAAAF752mg=",0)</f>
        <v>0</v>
      </c>
      <c r="DB4">
        <f>IF(Hoja2!1:1,"AAAAAF752mk=",0)</f>
        <v>0</v>
      </c>
      <c r="DC4" t="e">
        <f>AND(Hoja2!A1,"AAAAAF752mo=")</f>
        <v>#VALUE!</v>
      </c>
      <c r="DD4">
        <f>IF(Hoja2!A:A,"AAAAAF752ms=",0)</f>
        <v>0</v>
      </c>
      <c r="DE4">
        <f>IF(Hoja3!1:1,"AAAAAF752mw=",0)</f>
        <v>0</v>
      </c>
      <c r="DF4" t="e">
        <f>AND(Hoja3!A1,"AAAAAF752m0=")</f>
        <v>#VALUE!</v>
      </c>
      <c r="DG4">
        <f>IF(Hoja3!A:A,"AAAAAF752m4=",0)</f>
        <v>0</v>
      </c>
      <c r="DH4" t="s">
        <v>10</v>
      </c>
      <c r="DI4" t="s">
        <v>11</v>
      </c>
      <c r="DJ4" t="s">
        <v>12</v>
      </c>
      <c r="DK4" s="1" t="s">
        <v>13</v>
      </c>
    </row>
    <row r="5" spans="1:2" ht="15">
      <c r="A5" t="s">
        <v>14</v>
      </c>
      <c r="B5" t="s">
        <v>15</v>
      </c>
    </row>
    <row r="6" spans="1:2" ht="15">
      <c r="A6" t="s">
        <v>16</v>
      </c>
      <c r="B6" t="s">
        <v>17</v>
      </c>
    </row>
  </sheetData>
  <sheetProtection/>
  <printOptions/>
  <pageMargins left="0.7" right="0.7" top="0.75" bottom="0.75" header="0.3" footer="0.3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 Martinez Simanca</dc:creator>
  <cp:keywords/>
  <dc:description/>
  <cp:lastModifiedBy>RODOLFO</cp:lastModifiedBy>
  <cp:lastPrinted>2018-11-02T22:12:20Z</cp:lastPrinted>
  <dcterms:created xsi:type="dcterms:W3CDTF">2011-03-23T16:14:59Z</dcterms:created>
  <dcterms:modified xsi:type="dcterms:W3CDTF">2019-01-29T16:07:02Z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1_zFfzhv-OLDsKLMjtN_fqMEuzojovhLxZf969kc4jYM</vt:lpwstr>
  </property>
  <property fmtid="{D5CDD505-2E9C-101B-9397-08002B2CF9AE}" pid="4" name="Google.Documents.RevisionId">
    <vt:lpwstr>08524534583795741207</vt:lpwstr>
  </property>
  <property fmtid="{D5CDD505-2E9C-101B-9397-08002B2CF9AE}" pid="5" name="Google.Documents.PreviousRevisionId">
    <vt:lpwstr>05334516513392628624</vt:lpwstr>
  </property>
  <property fmtid="{D5CDD505-2E9C-101B-9397-08002B2CF9AE}" pid="6" name="Google.Documents.PluginVersion">
    <vt:lpwstr>2.0.2662.553</vt:lpwstr>
  </property>
  <property fmtid="{D5CDD505-2E9C-101B-9397-08002B2CF9AE}" pid="7" name="Google.Documents.MergeIncapabilityFlags">
    <vt:i4>0</vt:i4>
  </property>
</Properties>
</file>